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1700" windowHeight="6525" tabRatio="575" activeTab="1"/>
  </bookViews>
  <sheets>
    <sheet name="fölap" sheetId="1" r:id="rId1"/>
    <sheet name="Fő tábla 1." sheetId="2" r:id="rId2"/>
    <sheet name="Működési bevétel 2" sheetId="3" r:id="rId3"/>
    <sheet name="Felhalmozási bevétel 2-a" sheetId="4" r:id="rId4"/>
    <sheet name="Int.műk.bev.3." sheetId="5" r:id="rId5"/>
    <sheet name="Személyi j. 4,5" sheetId="6" r:id="rId6"/>
    <sheet name="DOLOGI ÖSSZ 6" sheetId="7" r:id="rId7"/>
    <sheet name="kÉSZLETBESZ. 6-a" sheetId="8" r:id="rId8"/>
    <sheet name="kommunikációs   6-b" sheetId="9" r:id="rId9"/>
    <sheet name="áfa   6-d" sheetId="10" r:id="rId10"/>
    <sheet name="sZOLGÁLTATÁS 6-c" sheetId="11" r:id="rId11"/>
    <sheet name="Kiadások szakf. össz. 6-e" sheetId="12" r:id="rId12"/>
    <sheet name="7-8-9 es" sheetId="13" r:id="rId13"/>
    <sheet name="Beruházás 10." sheetId="14" r:id="rId14"/>
    <sheet name="Felújítás 11." sheetId="15" r:id="rId15"/>
    <sheet name="Támogatásk 12." sheetId="16" r:id="rId16"/>
    <sheet name="13,  14,    pénzeszköz pénzm." sheetId="17" r:id="rId17"/>
    <sheet name="15. közvetett " sheetId="18" r:id="rId18"/>
    <sheet name="16. adóság áll." sheetId="19" r:id="rId19"/>
  </sheets>
  <definedNames>
    <definedName name="_xlnm.Print_Area" localSheetId="10">'sZOLGÁLTATÁS 6-c'!$A$1:$AN$45</definedName>
  </definedNames>
  <calcPr fullCalcOnLoad="1"/>
</workbook>
</file>

<file path=xl/sharedStrings.xml><?xml version="1.0" encoding="utf-8"?>
<sst xmlns="http://schemas.openxmlformats.org/spreadsheetml/2006/main" count="956" uniqueCount="488">
  <si>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</si>
  <si>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</si>
  <si>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</si>
  <si>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</si>
  <si>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</si>
  <si>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</si>
  <si>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</si>
  <si>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</si>
  <si>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</si>
  <si>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</si>
  <si>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</si>
  <si>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 I A D Á S O K</t>
  </si>
  <si>
    <t>Kiadási jogcímek</t>
  </si>
  <si>
    <t>Összesen</t>
  </si>
  <si>
    <t>Összesen:</t>
  </si>
  <si>
    <t>Bevételek</t>
  </si>
  <si>
    <t>Kiadások</t>
  </si>
  <si>
    <t>Általános tartalék</t>
  </si>
  <si>
    <t>Céltartalék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</si>
  <si>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</si>
  <si>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</si>
  <si>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</si>
  <si>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</si>
  <si>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</si>
  <si>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</si>
  <si>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</si>
  <si>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</si>
  <si>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</si>
  <si>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</si>
  <si>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</si>
  <si>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Felújítás  megnevezése</t>
  </si>
  <si>
    <t>Sor-
szám</t>
  </si>
  <si>
    <t xml:space="preserve">Személyi juttatások </t>
  </si>
  <si>
    <t>Önkormányzatok sajátos felhalmozási és tőkebevételei</t>
  </si>
  <si>
    <t>Tárgyi eszközök, immateriális javak értékesítése</t>
  </si>
  <si>
    <t>Felújítás</t>
  </si>
  <si>
    <t>Pénzügyi befektetések kiadásai</t>
  </si>
  <si>
    <t>Egyéb folyó kiadások</t>
  </si>
  <si>
    <t>Támogatások</t>
  </si>
  <si>
    <t>Előző évi pénzmaradvány</t>
  </si>
  <si>
    <t>IV.  Hitelek kamatai</t>
  </si>
  <si>
    <t>V. Egyéb kiadások</t>
  </si>
  <si>
    <t>Önkormányzatok sajátos működési bevételei</t>
  </si>
  <si>
    <t>3.1.</t>
  </si>
  <si>
    <t>3.2.</t>
  </si>
  <si>
    <t>6.1.</t>
  </si>
  <si>
    <t>6.2.</t>
  </si>
  <si>
    <t>BEVÉTELEK ÖSSZESEN: (9+10+11+12)</t>
  </si>
  <si>
    <t>1.1.</t>
  </si>
  <si>
    <t>1.2.</t>
  </si>
  <si>
    <t>1.3.</t>
  </si>
  <si>
    <t>1.4.</t>
  </si>
  <si>
    <t>1.6.</t>
  </si>
  <si>
    <t>1.7.</t>
  </si>
  <si>
    <t>2.1.</t>
  </si>
  <si>
    <t>2.2.</t>
  </si>
  <si>
    <t>VI. Finanszírozási kiadások (6.1+6.2)</t>
  </si>
  <si>
    <t xml:space="preserve"> KIADÁSOK ÖSSZESEN: (1+2+3+4+5+6)</t>
  </si>
  <si>
    <t>Felhalmozási célú pénzeszközátadás államháztartáson kívülre</t>
  </si>
  <si>
    <t>Támogatásértékű bevételek</t>
  </si>
  <si>
    <t>1.5</t>
  </si>
  <si>
    <t>Pénzforgalom nélküli kiadások</t>
  </si>
  <si>
    <t>1.8.</t>
  </si>
  <si>
    <t>1.9.</t>
  </si>
  <si>
    <t>1.10.</t>
  </si>
  <si>
    <t>1.11.</t>
  </si>
  <si>
    <t>Kamatkiadások</t>
  </si>
  <si>
    <t>1.12.</t>
  </si>
  <si>
    <t>Támogatásértékű műk.kiadás</t>
  </si>
  <si>
    <t>Társadalom- és szociálpol. jutt.</t>
  </si>
  <si>
    <t>I. Folyó (működési) kiadások (1.1+…+1.12)</t>
  </si>
  <si>
    <t>Működési célú pénzmaradvány átadás</t>
  </si>
  <si>
    <t>Felhalmozási célú pénzmaradvány átadás</t>
  </si>
  <si>
    <t>Támogatott szervezet neve</t>
  </si>
  <si>
    <t>Egyéb</t>
  </si>
  <si>
    <t>III. Tartalékok (3.1+...+3.2)</t>
  </si>
  <si>
    <t>Felhalmozási kölcsön visszafizetése</t>
  </si>
  <si>
    <t>Mogyorósbánya Község Önkormányzat</t>
  </si>
  <si>
    <t>Önkormányzat összesen:</t>
  </si>
  <si>
    <t>Mogyorósbánya Község Önkormányzatának</t>
  </si>
  <si>
    <t>Intézmények működési bevételeinek részletezése</t>
  </si>
  <si>
    <t>Bérleti díj</t>
  </si>
  <si>
    <t>Kiszámlázott</t>
  </si>
  <si>
    <t>Bank</t>
  </si>
  <si>
    <t>Önkormányzati Igazgatás</t>
  </si>
  <si>
    <t>Köztemető</t>
  </si>
  <si>
    <t>költségvetés</t>
  </si>
  <si>
    <t xml:space="preserve">   Mogyorósbánya Község Önkormányzat</t>
  </si>
  <si>
    <t>Önkormányzat</t>
  </si>
  <si>
    <t>szolgáltatás</t>
  </si>
  <si>
    <t>juttatás</t>
  </si>
  <si>
    <t>Rendszeres személyi jutt. Össz:</t>
  </si>
  <si>
    <t>Nem rendszeres személyi</t>
  </si>
  <si>
    <t>juttatások összesen:</t>
  </si>
  <si>
    <t>Személyi juttatások összesen:</t>
  </si>
  <si>
    <t>Mindösszesen:</t>
  </si>
  <si>
    <t>Készlet beszerzés</t>
  </si>
  <si>
    <t>Gyógyszer</t>
  </si>
  <si>
    <t>Irodaszer</t>
  </si>
  <si>
    <t>Szakmai</t>
  </si>
  <si>
    <t>Munkaruha</t>
  </si>
  <si>
    <t>Készlet</t>
  </si>
  <si>
    <t>beszerzés</t>
  </si>
  <si>
    <t>nyomtatvány</t>
  </si>
  <si>
    <t>könyv</t>
  </si>
  <si>
    <t>információ</t>
  </si>
  <si>
    <t>és kenő</t>
  </si>
  <si>
    <t>anyagok</t>
  </si>
  <si>
    <t>védőruha</t>
  </si>
  <si>
    <t>anyag-készlet</t>
  </si>
  <si>
    <t>hordozó</t>
  </si>
  <si>
    <t>anyag</t>
  </si>
  <si>
    <t>beszerzése</t>
  </si>
  <si>
    <t>összesen:</t>
  </si>
  <si>
    <t>Önálló intézmény</t>
  </si>
  <si>
    <t>Bajót-Mogyorósb.körjegyzőség</t>
  </si>
  <si>
    <t>Mogyorósbánya  Község Önkormányzat</t>
  </si>
  <si>
    <t>Kommunikációs szolgáltatások</t>
  </si>
  <si>
    <t>Nem adatátviteli</t>
  </si>
  <si>
    <t>Adatátviteli</t>
  </si>
  <si>
    <t>Kommunikációs</t>
  </si>
  <si>
    <t>célú távközlési</t>
  </si>
  <si>
    <t>szolgáltatások</t>
  </si>
  <si>
    <t>díjak</t>
  </si>
  <si>
    <t>Óvoda</t>
  </si>
  <si>
    <t>552312 Óvoda étkeztetés</t>
  </si>
  <si>
    <t>801115  Óvoda</t>
  </si>
  <si>
    <t>801225 Saj.nev. Óvoda</t>
  </si>
  <si>
    <t>751768 Óvi int.vagyon</t>
  </si>
  <si>
    <t xml:space="preserve"> Óvoda összesen:</t>
  </si>
  <si>
    <t>Szolgáltatási kiadások</t>
  </si>
  <si>
    <t>Vásárolt</t>
  </si>
  <si>
    <t>Bérleti</t>
  </si>
  <si>
    <t>Szállítási</t>
  </si>
  <si>
    <t>Gázenergia</t>
  </si>
  <si>
    <t xml:space="preserve">Villamos </t>
  </si>
  <si>
    <t>Víz-és</t>
  </si>
  <si>
    <t>Karbantartás</t>
  </si>
  <si>
    <t>Szolgáltatási</t>
  </si>
  <si>
    <t>élelem</t>
  </si>
  <si>
    <t>energia</t>
  </si>
  <si>
    <t>kisjavítás</t>
  </si>
  <si>
    <t xml:space="preserve">üzemeltetési </t>
  </si>
  <si>
    <t>kiadások</t>
  </si>
  <si>
    <t>kiadásai</t>
  </si>
  <si>
    <t>Általános</t>
  </si>
  <si>
    <t>Dologi</t>
  </si>
  <si>
    <t>Adók,</t>
  </si>
  <si>
    <t>forgalmi</t>
  </si>
  <si>
    <t>folyó</t>
  </si>
  <si>
    <t>adó</t>
  </si>
  <si>
    <t>befizetések</t>
  </si>
  <si>
    <t>Dologi kiadások összesen</t>
  </si>
  <si>
    <t xml:space="preserve">               Támogatás értékű működési kiadás</t>
  </si>
  <si>
    <t>tev adatok</t>
  </si>
  <si>
    <t>Körjegyzőségnek átadott pénzeszköz</t>
  </si>
  <si>
    <t>Működési célú Pénzeszköz átadás</t>
  </si>
  <si>
    <t>Államháztartáson kívülre</t>
  </si>
  <si>
    <t>terv adatok</t>
  </si>
  <si>
    <t>Önkormányzat támogatásai:</t>
  </si>
  <si>
    <t xml:space="preserve">Önkormányzat által folyósított </t>
  </si>
  <si>
    <t>Társadalom és szociálpolitikai juttatások</t>
  </si>
  <si>
    <t>Ellátások összesen:</t>
  </si>
  <si>
    <t>Kiadások összesítése</t>
  </si>
  <si>
    <t xml:space="preserve">Személyi </t>
  </si>
  <si>
    <t>Munkaadót</t>
  </si>
  <si>
    <t>Beruházás</t>
  </si>
  <si>
    <t>Társadalom</t>
  </si>
  <si>
    <t>terhelő</t>
  </si>
  <si>
    <t>járulékok</t>
  </si>
  <si>
    <t>Belföldi</t>
  </si>
  <si>
    <t>kiküldetés</t>
  </si>
  <si>
    <t>személyi juttatások részletezése</t>
  </si>
  <si>
    <t>különféle dologi</t>
  </si>
  <si>
    <t>Kölcsön</t>
  </si>
  <si>
    <t xml:space="preserve">     felhalmozásitartalék</t>
  </si>
  <si>
    <t xml:space="preserve">Dologi kiadások  </t>
  </si>
  <si>
    <t>Reprezentáció</t>
  </si>
  <si>
    <t xml:space="preserve">    kommunális adó bevétele</t>
  </si>
  <si>
    <t xml:space="preserve">    iparűzési adó bevétele</t>
  </si>
  <si>
    <t>Tárgyieszközök, immateriális javak értékesítése</t>
  </si>
  <si>
    <t>csatorna</t>
  </si>
  <si>
    <t>Véglegesen átvett pénzeszköz</t>
  </si>
  <si>
    <t>Kölcsön törlesztés</t>
  </si>
  <si>
    <t>összesen</t>
  </si>
  <si>
    <t>2.3</t>
  </si>
  <si>
    <t>2.4</t>
  </si>
  <si>
    <t>2.5</t>
  </si>
  <si>
    <t>II. Felhalmozási és tőke jellegű kiadások (2.1+…+2.5)</t>
  </si>
  <si>
    <t xml:space="preserve">    működési tartalék (készlet beszerzés)</t>
  </si>
  <si>
    <t xml:space="preserve">Felújítás </t>
  </si>
  <si>
    <t xml:space="preserve">Intézményi beruházás </t>
  </si>
  <si>
    <t xml:space="preserve">müködési </t>
  </si>
  <si>
    <t>Tartalék</t>
  </si>
  <si>
    <t>Hitelek</t>
  </si>
  <si>
    <t xml:space="preserve">   felhalmozási tartalék</t>
  </si>
  <si>
    <t>552110 Közutak,hídak üzemeltetése</t>
  </si>
  <si>
    <t>682002 nem lakóingatlan bérbeadása</t>
  </si>
  <si>
    <t>841126 Önkormányzati ig. tev</t>
  </si>
  <si>
    <t>841402 Közvilágítás</t>
  </si>
  <si>
    <t>862101 Háziorvosi szolgálat</t>
  </si>
  <si>
    <t>890441 Közcélú foglalkoztatás</t>
  </si>
  <si>
    <t>910501 Közművelődési tevékenység</t>
  </si>
  <si>
    <t>960302 Köztemető-fenntartás és mük</t>
  </si>
  <si>
    <t>841403 Város és községgazdálkodás</t>
  </si>
  <si>
    <t>2 (3+4+5)</t>
  </si>
  <si>
    <t>890442 Közhasznú foglalkoztatás</t>
  </si>
  <si>
    <t>890442  Közhasznú foglalkoztatás</t>
  </si>
  <si>
    <t>Ápolási díj</t>
  </si>
  <si>
    <t xml:space="preserve">  Támogatások,kiegészítések</t>
  </si>
  <si>
    <t>Tát Nagyközség Önkorm.óvoda  társulásra átadott pénzeszköz</t>
  </si>
  <si>
    <t>Tát Nagyközség Önkorm. Iskola társulásra átadott pénzeszköz</t>
  </si>
  <si>
    <t>polgármester</t>
  </si>
  <si>
    <t>munkatörv kv.</t>
  </si>
  <si>
    <t>Működési kamatmentes kölcsön államháztartáson kívülre</t>
  </si>
  <si>
    <t>I</t>
  </si>
  <si>
    <t>2.1 Helyi adók*</t>
  </si>
  <si>
    <t>2.2 Bírságok, pótlékok,</t>
  </si>
  <si>
    <t>2.3 Egyéb bevétel</t>
  </si>
  <si>
    <t>2.4 Talajterhelési dij</t>
  </si>
  <si>
    <t>2.5Átengedett központi adók*</t>
  </si>
  <si>
    <t xml:space="preserve">          átenedett központi adó szja</t>
  </si>
  <si>
    <t>II</t>
  </si>
  <si>
    <t>Önkormányzat költségvetési támogatása</t>
  </si>
  <si>
    <t xml:space="preserve"> Önkormányzat sajátos műk. bevételei (2.1+2.5)*</t>
  </si>
  <si>
    <t>IV.</t>
  </si>
  <si>
    <t xml:space="preserve">Felhalmozási és tőkejellegű bevételek </t>
  </si>
  <si>
    <t>2.4Többcélú kistérségi társulástól átvett pénzeszköz</t>
  </si>
  <si>
    <t>V.</t>
  </si>
  <si>
    <t>III.</t>
  </si>
  <si>
    <t>1.Működéscélú pénzeszköz átvétel államháztartáon kiv.</t>
  </si>
  <si>
    <t>1.Felhalmozáscélú pénzeszköz átvétel államháztartáon kiv.</t>
  </si>
  <si>
    <t>1</t>
  </si>
  <si>
    <t>2</t>
  </si>
  <si>
    <t>VI</t>
  </si>
  <si>
    <t>VII.</t>
  </si>
  <si>
    <t>Költségvetési hiány belső finanszirozására szolgáló bevétel</t>
  </si>
  <si>
    <t>Előző évek Működési célú pénzmaradvány igénybevétele</t>
  </si>
  <si>
    <t>Előző évek Felhalmozási célú pénzmaradvány igénybevétele</t>
  </si>
  <si>
    <t>VIII.</t>
  </si>
  <si>
    <t>Működés célú hitel felvétele</t>
  </si>
  <si>
    <t>1.1 Rövid lejáratú hitel felvétel</t>
  </si>
  <si>
    <t>Felhalmozás célú hitel felvétel</t>
  </si>
  <si>
    <t>2.1 Rövidlejáratú hitelek felvétele</t>
  </si>
  <si>
    <t>IX.</t>
  </si>
  <si>
    <t>V. Tám. kölcs. visszatér. igénybev., értékp. bev. (1+2)</t>
  </si>
  <si>
    <t xml:space="preserve">KöltségvetésiBEVÉTELEK ÖSSZESEN: </t>
  </si>
  <si>
    <t>Önkormányzat működési bevételei (1+2)</t>
  </si>
  <si>
    <t>Támogatásértékű bevétel (1+2)</t>
  </si>
  <si>
    <t>Támogatásértékű felhalmozási bevételek(2.1+2.5)</t>
  </si>
  <si>
    <t xml:space="preserve"> Támogatások, kiegészítések (1+..6)</t>
  </si>
  <si>
    <t xml:space="preserve">  1.6Többcélú kistérségi társulástól átvett pénzeszköz(könyvtár)</t>
  </si>
  <si>
    <t>Támogatásértékű működési bevételek  (1.1+1.6)</t>
  </si>
  <si>
    <t>kölcsönök visszatérülése</t>
  </si>
  <si>
    <t>Müködési hitel</t>
  </si>
  <si>
    <t>Működéscélú pénzeszköz átadás</t>
  </si>
  <si>
    <t>Támogatásésrtékű kiadás</t>
  </si>
  <si>
    <t xml:space="preserve">     működési tartalék </t>
  </si>
  <si>
    <t>Munkáltató</t>
  </si>
  <si>
    <t>SZJA</t>
  </si>
  <si>
    <t>2012 évi</t>
  </si>
  <si>
    <t>Számlavezetési díj</t>
  </si>
  <si>
    <t>Lakosságnak nyújtott támogatás</t>
  </si>
  <si>
    <t>Non-profit szervek mindösszesen:</t>
  </si>
  <si>
    <t>Áht-on kivülre nyújtott támogatás</t>
  </si>
  <si>
    <t>841112 Önkormányzati jogalkotás</t>
  </si>
  <si>
    <t>Működési célú  kölcsön  felvétel,visszatér.,</t>
  </si>
  <si>
    <t xml:space="preserve">BEVÉTELEK ÖSSZESEN: </t>
  </si>
  <si>
    <t>Felhalmozási célú  kölcsön felvétel, visszatér.</t>
  </si>
  <si>
    <t>ezer Ft</t>
  </si>
  <si>
    <t>27 % szociális hozzájárulási adó</t>
  </si>
  <si>
    <t>Támogatás értékű bevételek</t>
  </si>
  <si>
    <t xml:space="preserve">   Felhalmozási hitel felvét</t>
  </si>
  <si>
    <t>11. számú melléklet</t>
  </si>
  <si>
    <t>12. számú melléklet</t>
  </si>
  <si>
    <t>10. számú melléklet</t>
  </si>
  <si>
    <t>Beruházások tervezése</t>
  </si>
  <si>
    <t>B E V É T E L E K</t>
  </si>
  <si>
    <t>Felújítás* (6/b.sz.melléklet)</t>
  </si>
  <si>
    <t>Intézményi beruházási kiadások* (6/a.sz.melléklet)</t>
  </si>
  <si>
    <t>Személyi  juttatások (7.sz.melléklet)</t>
  </si>
  <si>
    <t>Munkaadókat terhelő járulékok (8.sz.melléklet)</t>
  </si>
  <si>
    <t>Dologi  kiadások* (9.sz.melléklet)</t>
  </si>
  <si>
    <t>Támogatásértékű működési kiadás (10.sz. melléklet)</t>
  </si>
  <si>
    <t>Társadalom- és szociálpolitikai juttatások (12.sz.melléklet)</t>
  </si>
  <si>
    <t>Lakásfenntartási támogatás                                                         (20%-os önrész)</t>
  </si>
  <si>
    <t>Foglalkoztatást helyettesítő tám.                                                (20%-os önrész)</t>
  </si>
  <si>
    <t>Egyszeri gyermekvédelmi támogat                            (100%-os állami támogatás)</t>
  </si>
  <si>
    <t>Temetési segély                                                                        (100%-os önrész)</t>
  </si>
  <si>
    <t>Közgyógy ellátás                                                                      (100%-os önrész)</t>
  </si>
  <si>
    <t>Rendkívüli gyermekvédelmi támogatás                                     (100%-os önrész)</t>
  </si>
  <si>
    <t>Átmeneti Szociális Segély                                                         (100%-os önrész)</t>
  </si>
  <si>
    <t>Mozgáskorlátozottak támogatása                          ( 100 %-os állami támogatás)</t>
  </si>
  <si>
    <t>Szlovák Nemzetiségi Önkormányzati támogatás</t>
  </si>
  <si>
    <t>Német Nemzetiségi Önkormányzati támogatás</t>
  </si>
  <si>
    <t>1.Normatív hozzájárulások* (13.sz.melléklet)</t>
  </si>
  <si>
    <t>Felhalmozási hitel törlesztés   ( 14.sz. melléklet )</t>
  </si>
  <si>
    <t>2.2KDOP-4.1-1)E Felszabadulás út csőbehelyezés</t>
  </si>
  <si>
    <t>1.2 Munkaügyi központtól kapott támogatás</t>
  </si>
  <si>
    <t>1.3 Önkormányzattól átvett pénzeszköz  (  Tát )</t>
  </si>
  <si>
    <t>2012. évi teljesítés</t>
  </si>
  <si>
    <t>2.Normatív kötött felhasználású támogatás</t>
  </si>
  <si>
    <t>5.Vis maior támogatás  EBR 52304</t>
  </si>
  <si>
    <t>3.Vis maior támogatás  EBR 33755</t>
  </si>
  <si>
    <t>4.Vis maior támogatás  EBR 52299</t>
  </si>
  <si>
    <t>E:</t>
  </si>
  <si>
    <t>M:</t>
  </si>
  <si>
    <t>2012. évi módosított előirányzat</t>
  </si>
  <si>
    <t>T:</t>
  </si>
  <si>
    <t>tatottak</t>
  </si>
  <si>
    <t>mindösszesen:</t>
  </si>
  <si>
    <t>Önkormányzat támogatásai</t>
  </si>
  <si>
    <t>Aljnövényzet tisztító</t>
  </si>
  <si>
    <t>módosítás</t>
  </si>
  <si>
    <t>Nem lakóingatlan bérbeadása</t>
  </si>
  <si>
    <t>bevétele</t>
  </si>
  <si>
    <t>szolgáltatás bevétele</t>
  </si>
  <si>
    <t>kamat</t>
  </si>
  <si>
    <t>Közfoglalkoz-</t>
  </si>
  <si>
    <t>Egyéb bérrendszer alá tartozó bére</t>
  </si>
  <si>
    <t>Költségátalány</t>
  </si>
  <si>
    <t>terhelőj árulékok</t>
  </si>
  <si>
    <t>522001 Közutak,hidak üzemeltetése</t>
  </si>
  <si>
    <t>682002 Nem lakóingatlan bérbeadása</t>
  </si>
  <si>
    <t>Folyóirat</t>
  </si>
  <si>
    <t>Hajtó-</t>
  </si>
  <si>
    <t>Kisértékű</t>
  </si>
  <si>
    <t>841126 Önkormányzati igazg. tev</t>
  </si>
  <si>
    <t>552110 Közutak,hidak üzemeltetése</t>
  </si>
  <si>
    <t>törlesztés</t>
  </si>
  <si>
    <t>Támogatásértékű</t>
  </si>
  <si>
    <t>kiadás</t>
  </si>
  <si>
    <t>átadás</t>
  </si>
  <si>
    <t>és szociálpolitikai</t>
  </si>
  <si>
    <t>Működés célú</t>
  </si>
  <si>
    <t>pénzeszköz</t>
  </si>
  <si>
    <t>6. Egyéb központi támogatás  - bérkompenzálás</t>
  </si>
  <si>
    <t>2.1 Hulladékgazdálkodási rekultiváció megszűnése</t>
  </si>
  <si>
    <t>1.1 Mozgáskorlátozottak támogatása</t>
  </si>
  <si>
    <t>Keresetkiegészítés</t>
  </si>
  <si>
    <t>által fizetett</t>
  </si>
  <si>
    <t xml:space="preserve">Továbbszámlázott </t>
  </si>
  <si>
    <t>Pénzügyi</t>
  </si>
  <si>
    <t>közszolgáltatás</t>
  </si>
  <si>
    <t>tárgyi eszköz</t>
  </si>
  <si>
    <t>teljesítés</t>
  </si>
  <si>
    <t xml:space="preserve">    Igazgatás szolgáltatási díj</t>
  </si>
  <si>
    <r>
      <t xml:space="preserve"> Intézményi működési bevételek</t>
    </r>
    <r>
      <rPr>
        <b/>
        <vertAlign val="superscript"/>
        <sz val="8"/>
        <rFont val="Times New Roman CE"/>
        <family val="0"/>
      </rPr>
      <t>* (4.sz. melléklet)</t>
    </r>
  </si>
  <si>
    <t xml:space="preserve"> X.</t>
  </si>
  <si>
    <t>XI.</t>
  </si>
  <si>
    <t xml:space="preserve">   Függő bevételek</t>
  </si>
  <si>
    <t xml:space="preserve">   BEVÉTELEK MINDÖSSZESEN:</t>
  </si>
  <si>
    <t>Függő kiadások</t>
  </si>
  <si>
    <t>KIADÁSOK MINDÖSSZESEN:</t>
  </si>
  <si>
    <t>Művelődési Ház</t>
  </si>
  <si>
    <t>Háztartások támogatása</t>
  </si>
  <si>
    <t>K.D:O.P 4.2.1/B 11 Régi postaköz felújítás</t>
  </si>
  <si>
    <t>K.D.O.P.4.1.1/E "Mogyorósbánya Szőlősor utcai csapadékvíz elvezetés támogatása (50.761.368 Ft)</t>
  </si>
  <si>
    <t>K.D.O.P.4.1.1/E "Mogyorósbánya Szőlősor utcai csapadékvíz elvezetés   ÖNRÉSZ (7.787.579 Ft</t>
  </si>
  <si>
    <t>2.6</t>
  </si>
  <si>
    <t>5.Vis maior támogatás  EBR 86166</t>
  </si>
  <si>
    <t>Előfinanszirozási hitel törl.</t>
  </si>
  <si>
    <t>Egyszeri gyermekvédelmi tám. Erzsébet utalv.           (100%-os állami támogatás)</t>
  </si>
  <si>
    <t>Előző évi műk.előir.maradv.pm.átadás össz.:</t>
  </si>
  <si>
    <t>2012. évi</t>
  </si>
  <si>
    <t>2013. évi terv adatok</t>
  </si>
  <si>
    <t>Normatív ápolási díj(járáshoz került)                             ( 2 fő 25%-os önrész)</t>
  </si>
  <si>
    <t>Méltányossági ápolási díj                 marad?(1 fő 100 %-os önrész)</t>
  </si>
  <si>
    <t>Hulladéklerakó rekultiváció</t>
  </si>
  <si>
    <t>6. Erzsébet utalvány</t>
  </si>
  <si>
    <t>Felhalmozási előfinanszírozási hitel</t>
  </si>
  <si>
    <t>2.3. KDOP 4.1.1. 2012.évi önerő támogatás</t>
  </si>
  <si>
    <t>2012 évi módosított előirányzat</t>
  </si>
  <si>
    <t>2012.évi teljesítés</t>
  </si>
  <si>
    <t xml:space="preserve">K.D.O.P.4.1.1/E "Mogyorósbánya Szőlősor utcai csapadékvíz elvezetés támogatása </t>
  </si>
  <si>
    <t xml:space="preserve">Felújítások </t>
  </si>
  <si>
    <t xml:space="preserve"> KDOP.  4.2.1/B-11 Régi postaköz felújítás</t>
  </si>
  <si>
    <t>6. számú melléklet</t>
  </si>
  <si>
    <t>Állományba nem tart.jutt.</t>
  </si>
  <si>
    <t>Részmunkaídő</t>
  </si>
  <si>
    <t>beteg állomány</t>
  </si>
  <si>
    <t>vegyszer</t>
  </si>
  <si>
    <t xml:space="preserve">Egyéb folyó </t>
  </si>
  <si>
    <t>Hitel</t>
  </si>
  <si>
    <t>Vis</t>
  </si>
  <si>
    <t>mair</t>
  </si>
  <si>
    <t>Működési célú pénzeszközátadás államháztartáson kívülre</t>
  </si>
  <si>
    <t>1.2 Vállalkozástól átvett pénzeszköz</t>
  </si>
  <si>
    <t>1.3 Központi ktg-i szervtől ( pénbeli tám.)</t>
  </si>
  <si>
    <t>Tát Nagyközség Önkorm. Iskola társulásra átadott pénzeszköz          (2012. év )</t>
  </si>
  <si>
    <t>2.számú melléklet</t>
  </si>
  <si>
    <t>2/a. számú melléklet</t>
  </si>
  <si>
    <t>7. számú melléklet</t>
  </si>
  <si>
    <t>8. számú melléklet</t>
  </si>
  <si>
    <t>9. számú melléklet</t>
  </si>
  <si>
    <t>Dologi kiadások összesítése</t>
  </si>
  <si>
    <t>960302 Köztemető-fennt.</t>
  </si>
  <si>
    <t>5. számú melléklet</t>
  </si>
  <si>
    <t>Önként vállalt feladatok</t>
  </si>
  <si>
    <t>üdülési hozzájárulás</t>
  </si>
  <si>
    <t>étkezési útalvány</t>
  </si>
  <si>
    <t>2012. évi zárás</t>
  </si>
  <si>
    <t>Rendszeres szociális  segély                                                  (5 fő 20%-os önrész)</t>
  </si>
  <si>
    <t>2012 évi eredeti előirányzat</t>
  </si>
  <si>
    <t>2012.évi módosított előirányzat</t>
  </si>
  <si>
    <t>2013. évi teljesítés</t>
  </si>
  <si>
    <t xml:space="preserve">  Felújítás </t>
  </si>
  <si>
    <t>2012. évi erdeti előirányzat</t>
  </si>
  <si>
    <t xml:space="preserve">          gépjárműadó  </t>
  </si>
  <si>
    <t>Átfutó bevétel</t>
  </si>
  <si>
    <t>Függő, átfutó kiadás</t>
  </si>
  <si>
    <t>Előző évi műk.előir.maradv.pm.átad.</t>
  </si>
  <si>
    <t>pénzeszközök változásainak levezetése</t>
  </si>
  <si>
    <t> Bankszámlák egyenlege</t>
  </si>
  <si>
    <t> Pénztárak és betétkönyvek egyenlege</t>
  </si>
  <si>
    <t>Bevételek   ( + ) ( - intm.fin.140.654 e Ft )</t>
  </si>
  <si>
    <t>Kiadások    ( - ) ( - intm.fin. 140.654 e Ft )</t>
  </si>
  <si>
    <t>EGYSZERŰSÍTETT PÉNZMARADVÁNY-KIMUTATÁS</t>
  </si>
  <si>
    <t>Előző évi költségvetési beszámoló záró adatai</t>
  </si>
  <si>
    <t>Tárgy évi adatok</t>
  </si>
  <si>
    <t>Záró pénzkészlet</t>
  </si>
  <si>
    <t>Egyéb aktív és passzív pénzügyi elszámolások összevont záróegyenlege (±)</t>
  </si>
  <si>
    <t>Előző év(ek)ben képzett tartalékok maradványa ( - )</t>
  </si>
  <si>
    <t>Vállalkozási tevékenység pénzforgalmi eredménye ( - )</t>
  </si>
  <si>
    <t>Tárgyévi helyesbített pénzmaradvány ( 1 ± 2 - 3 - 4 )</t>
  </si>
  <si>
    <t>Finanszírozásból származó korrekciók ( ± )</t>
  </si>
  <si>
    <t>Pénzmaradványt terhelő elvonások ( ± )</t>
  </si>
  <si>
    <t>A vállalkozási tevékenység eredményéből alaptevékenység ellátására felhasznált összeg</t>
  </si>
  <si>
    <t>Költségvetési pénzmaradványt külön jogszabály alapján módosító tétel (±)</t>
  </si>
  <si>
    <t>10.</t>
  </si>
  <si>
    <t>Módosított pénzmaradvány ( 5 ± 6 ± 7 + 8 ± 9 )</t>
  </si>
  <si>
    <t>11.</t>
  </si>
  <si>
    <t>12.</t>
  </si>
  <si>
    <t>13.</t>
  </si>
  <si>
    <t>14.</t>
  </si>
  <si>
    <t xml:space="preserve">            - Önkormányzat működési pénzmaradványa</t>
  </si>
  <si>
    <t>15.</t>
  </si>
  <si>
    <t>16.</t>
  </si>
  <si>
    <t>17.</t>
  </si>
  <si>
    <t>18.</t>
  </si>
  <si>
    <t>19.</t>
  </si>
  <si>
    <t>20.</t>
  </si>
  <si>
    <t>21.</t>
  </si>
  <si>
    <t>22.</t>
  </si>
  <si>
    <t>támogatások ( kedvezmények )</t>
  </si>
  <si>
    <t>Kedvezmény nélkül elérhető bevétel</t>
  </si>
  <si>
    <t>Kedvezmények összege</t>
  </si>
  <si>
    <t>Kedvezményzettek száma</t>
  </si>
  <si>
    <t xml:space="preserve"> </t>
  </si>
  <si>
    <t>célok szerint, évenkénti bontásban</t>
  </si>
  <si>
    <t>Kötelezettség jogcíme</t>
  </si>
  <si>
    <t>Köt. váll.
 éve</t>
  </si>
  <si>
    <t>Kiadás vonzata évenként</t>
  </si>
  <si>
    <t>9=(4+5+6+7+8)</t>
  </si>
  <si>
    <t>Működési célú hiteltörlesztés (tőke+kamat)</t>
  </si>
  <si>
    <t>Összesen (1+4+7+9+11)</t>
  </si>
  <si>
    <t>2012. évi zárása</t>
  </si>
  <si>
    <t>Pénzkészlet 2012. január 1-jén
Ebből:</t>
  </si>
  <si>
    <t>2012. ÉVI ZÁRÁS</t>
  </si>
  <si>
    <t>2011. évi szabad pénzmaradvány felosztása</t>
  </si>
  <si>
    <t xml:space="preserve">            - Önkormányzat felhalmozási pénzmaradványa</t>
  </si>
  <si>
    <t xml:space="preserve"> - 2012, 2013 évi költségvetésben betervezett összeg</t>
  </si>
  <si>
    <t>Önkormányzat szabad működési  pénzmaradványa</t>
  </si>
  <si>
    <t xml:space="preserve"> javaslat : működési tartalék</t>
  </si>
  <si>
    <t>Mogyorósbánya  Község Önkormányzat által adott közvetett</t>
  </si>
  <si>
    <t>Pályázati önerő  ( KEM kamatmentes kölcsön )</t>
  </si>
  <si>
    <t>2012. előtti kifizetés</t>
  </si>
  <si>
    <t>K.D.O.P. pályázathoz előfinanszirozási hitel</t>
  </si>
  <si>
    <t>Felhalmozási célú kölcsön-hitel törlesztés (tőke)</t>
  </si>
  <si>
    <t>2012. évi eredeti előirányzat</t>
  </si>
  <si>
    <t>2012. évi munkaadót terhelő járulékok</t>
  </si>
  <si>
    <t>3.számú melléklet</t>
  </si>
  <si>
    <t>4. számú melléklet</t>
  </si>
  <si>
    <t>6/a. számú melléklet</t>
  </si>
  <si>
    <t>6/b.számú melléklet</t>
  </si>
  <si>
    <t>6/d. számú melléklet</t>
  </si>
  <si>
    <t>6/c. számú melléklet</t>
  </si>
  <si>
    <t>6/e. számú melléklet</t>
  </si>
  <si>
    <t>13.sz. melléklet</t>
  </si>
  <si>
    <t>14. sz. melléklet</t>
  </si>
  <si>
    <t>15. sz. melléklet</t>
  </si>
  <si>
    <t>16. számú melléklet</t>
  </si>
  <si>
    <t>Többéves kihatással járó döntésekből származó kötelezettségek</t>
  </si>
  <si>
    <t>Záró pénzkészlet 2012. december 31-én
Ebből:</t>
  </si>
  <si>
    <t>Ezer forint</t>
  </si>
  <si>
    <t>Összeg  (E Ft)</t>
  </si>
  <si>
    <t>eFT</t>
  </si>
  <si>
    <t xml:space="preserve"> Ezer forint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</si>
</sst>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00"/>
    <numFmt numFmtId="167" formatCode="yyyy\-mm\-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_-* #,##0.0\ _F_t_-;\-* #,##0.0\ _F_t_-;_-* &quot;-&quot;??\ _F_t_-;_-@_-"/>
    <numFmt numFmtId="173" formatCode="_-* #,##0\ _F_t_-;\-* #,##0\ _F_t_-;_-* &quot;-&quot;??\ _F_t_-;_-@_-"/>
    <numFmt numFmtId="174" formatCode="0.0000"/>
    <numFmt numFmtId="175" formatCode="0.000"/>
    <numFmt numFmtId="176" formatCode="0.0"/>
    <numFmt numFmtId="177" formatCode="#,##0.0"/>
    <numFmt numFmtId="178" formatCode="#,###__"/>
    <numFmt numFmtId="179" formatCode="#,###__;\-\ #,###__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b/>
      <sz val="8"/>
      <name val="Arial CE"/>
      <family val="2"/>
    </font>
    <font>
      <sz val="10"/>
      <name val="Arial CE"/>
      <family val="2"/>
    </font>
    <font>
      <b/>
      <sz val="11"/>
      <name val="Arial CE"/>
      <family val="0"/>
    </font>
    <font>
      <sz val="9"/>
      <name val="Arial CE"/>
      <family val="0"/>
    </font>
    <font>
      <b/>
      <sz val="16"/>
      <name val="Times New Roman CE"/>
      <family val="1"/>
    </font>
    <font>
      <sz val="8"/>
      <color indexed="8"/>
      <name val="Arial CE"/>
      <family val="2"/>
    </font>
    <font>
      <sz val="10"/>
      <color indexed="10"/>
      <name val="Times New Roman CE"/>
      <family val="0"/>
    </font>
    <font>
      <b/>
      <vertAlign val="superscript"/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Times New Roman CE"/>
      <family val="1"/>
    </font>
    <font>
      <sz val="14"/>
      <name val="Times New Roman CE"/>
      <family val="0"/>
    </font>
    <font>
      <b/>
      <sz val="14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11"/>
      <name val="Times New Roman CE"/>
      <family val="1"/>
    </font>
    <font>
      <b/>
      <i/>
      <sz val="10"/>
      <name val="Times New Roman CE"/>
      <family val="1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lightHorizontal"/>
    </fill>
    <fill>
      <patternFill patternType="gray0625"/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/>
      <bottom style="thin"/>
    </border>
    <border>
      <left/>
      <right style="thin"/>
      <top/>
      <bottom>
        <color indexed="63"/>
      </bottom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4" borderId="7" applyNumberFormat="0" applyFont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8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7" borderId="0" applyNumberFormat="0" applyBorder="0" applyAlignment="0" applyProtection="0"/>
    <xf numFmtId="0" fontId="41" fillId="7" borderId="0" applyNumberFormat="0" applyBorder="0" applyAlignment="0" applyProtection="0"/>
    <xf numFmtId="0" fontId="42" fillId="16" borderId="1" applyNumberFormat="0" applyAlignment="0" applyProtection="0"/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0" fillId="0" borderId="0" xfId="57" applyFont="1" applyFill="1">
      <alignment/>
      <protection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57" applyFill="1">
      <alignment/>
      <protection/>
    </xf>
    <xf numFmtId="0" fontId="11" fillId="0" borderId="0" xfId="57" applyFont="1" applyFill="1">
      <alignment/>
      <protection/>
    </xf>
    <xf numFmtId="0" fontId="12" fillId="0" borderId="0" xfId="57" applyFont="1" applyFill="1">
      <alignment/>
      <protection/>
    </xf>
    <xf numFmtId="164" fontId="5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Border="1" applyAlignment="1">
      <alignment horizontal="left" vertical="center"/>
    </xf>
    <xf numFmtId="0" fontId="16" fillId="18" borderId="11" xfId="0" applyFont="1" applyFill="1" applyBorder="1" applyAlignment="1">
      <alignment horizontal="left" vertical="center"/>
    </xf>
    <xf numFmtId="0" fontId="11" fillId="0" borderId="0" xfId="57" applyFont="1" applyFill="1" applyBorder="1" applyAlignment="1" applyProtection="1">
      <alignment horizontal="left" vertical="center" wrapText="1"/>
      <protection/>
    </xf>
    <xf numFmtId="0" fontId="5" fillId="0" borderId="0" xfId="57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14" fillId="0" borderId="10" xfId="0" applyFont="1" applyBorder="1" applyAlignment="1">
      <alignment vertical="center"/>
    </xf>
    <xf numFmtId="0" fontId="0" fillId="0" borderId="10" xfId="6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7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12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167" fontId="0" fillId="0" borderId="0" xfId="0" applyNumberFormat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3" fontId="14" fillId="0" borderId="12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6" fillId="18" borderId="11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6" fillId="18" borderId="10" xfId="0" applyFont="1" applyFill="1" applyBorder="1" applyAlignment="1">
      <alignment/>
    </xf>
    <xf numFmtId="3" fontId="16" fillId="18" borderId="10" xfId="0" applyNumberFormat="1" applyFont="1" applyFill="1" applyBorder="1" applyAlignment="1">
      <alignment horizontal="right"/>
    </xf>
    <xf numFmtId="3" fontId="0" fillId="18" borderId="10" xfId="0" applyNumberFormat="1" applyFill="1" applyBorder="1" applyAlignment="1">
      <alignment horizontal="right"/>
    </xf>
    <xf numFmtId="0" fontId="20" fillId="0" borderId="10" xfId="0" applyFont="1" applyBorder="1" applyAlignment="1">
      <alignment/>
    </xf>
    <xf numFmtId="0" fontId="20" fillId="17" borderId="10" xfId="0" applyFont="1" applyFill="1" applyBorder="1" applyAlignment="1">
      <alignment/>
    </xf>
    <xf numFmtId="3" fontId="20" fillId="17" borderId="10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 wrapText="1"/>
    </xf>
    <xf numFmtId="0" fontId="0" fillId="4" borderId="0" xfId="57" applyFont="1" applyFill="1">
      <alignment/>
      <protection/>
    </xf>
    <xf numFmtId="0" fontId="5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0" fillId="0" borderId="10" xfId="60" applyNumberFormat="1" applyFont="1" applyBorder="1" applyAlignment="1">
      <alignment vertical="center"/>
    </xf>
    <xf numFmtId="3" fontId="13" fillId="4" borderId="10" xfId="6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44" fontId="5" fillId="0" borderId="0" xfId="60" applyFont="1" applyAlignment="1">
      <alignment horizontal="center"/>
    </xf>
    <xf numFmtId="0" fontId="5" fillId="0" borderId="0" xfId="0" applyFont="1" applyAlignment="1">
      <alignment/>
    </xf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0" xfId="0" applyNumberFormat="1" applyFont="1" applyFill="1" applyBorder="1" applyAlignment="1">
      <alignment horizontal="left" vertical="center" wrapText="1" indent="1"/>
    </xf>
    <xf numFmtId="164" fontId="10" fillId="0" borderId="10" xfId="0" applyNumberFormat="1" applyFont="1" applyFill="1" applyBorder="1" applyAlignment="1">
      <alignment vertical="center" wrapText="1"/>
    </xf>
    <xf numFmtId="0" fontId="0" fillId="16" borderId="10" xfId="0" applyFill="1" applyBorder="1" applyAlignment="1">
      <alignment/>
    </xf>
    <xf numFmtId="0" fontId="5" fillId="0" borderId="0" xfId="0" applyFont="1" applyAlignment="1">
      <alignment horizontal="right"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 indent="1"/>
    </xf>
    <xf numFmtId="0" fontId="11" fillId="0" borderId="0" xfId="0" applyFont="1" applyBorder="1" applyAlignment="1" applyProtection="1">
      <alignment horizontal="left" vertical="center" indent="1"/>
      <protection locked="0"/>
    </xf>
    <xf numFmtId="3" fontId="11" fillId="0" borderId="0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164" fontId="0" fillId="16" borderId="10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3" fillId="0" borderId="0" xfId="0" applyNumberFormat="1" applyFont="1" applyBorder="1" applyAlignment="1">
      <alignment/>
    </xf>
    <xf numFmtId="164" fontId="23" fillId="0" borderId="0" xfId="0" applyNumberFormat="1" applyFont="1" applyFill="1" applyAlignment="1">
      <alignment vertical="center" wrapText="1"/>
    </xf>
    <xf numFmtId="3" fontId="11" fillId="16" borderId="10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3" fillId="0" borderId="11" xfId="0" applyFont="1" applyBorder="1" applyAlignment="1">
      <alignment horizontal="left" vertical="center"/>
    </xf>
    <xf numFmtId="3" fontId="14" fillId="0" borderId="12" xfId="0" applyNumberFormat="1" applyFont="1" applyFill="1" applyBorder="1" applyAlignment="1">
      <alignment horizontal="right" vertical="center"/>
    </xf>
    <xf numFmtId="44" fontId="17" fillId="0" borderId="10" xfId="60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inden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3" fontId="14" fillId="16" borderId="10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0" fontId="11" fillId="0" borderId="0" xfId="0" applyFont="1" applyAlignment="1">
      <alignment/>
    </xf>
    <xf numFmtId="0" fontId="10" fillId="18" borderId="10" xfId="57" applyFont="1" applyFill="1" applyBorder="1" applyAlignment="1" applyProtection="1">
      <alignment horizontal="left" vertical="center" wrapText="1" indent="1"/>
      <protection/>
    </xf>
    <xf numFmtId="0" fontId="10" fillId="0" borderId="10" xfId="57" applyFont="1" applyFill="1" applyBorder="1" applyAlignment="1" applyProtection="1">
      <alignment horizontal="left" vertical="center" wrapText="1" indent="1"/>
      <protection/>
    </xf>
    <xf numFmtId="0" fontId="11" fillId="0" borderId="10" xfId="57" applyFont="1" applyFill="1" applyBorder="1" applyAlignment="1" applyProtection="1">
      <alignment horizontal="left" vertical="center" wrapText="1" indent="1"/>
      <protection/>
    </xf>
    <xf numFmtId="164" fontId="10" fillId="18" borderId="10" xfId="57" applyNumberFormat="1" applyFont="1" applyFill="1" applyBorder="1" applyAlignment="1" applyProtection="1">
      <alignment horizontal="right" vertical="center" wrapText="1"/>
      <protection/>
    </xf>
    <xf numFmtId="0" fontId="10" fillId="16" borderId="10" xfId="57" applyFont="1" applyFill="1" applyBorder="1" applyAlignment="1" applyProtection="1">
      <alignment horizontal="left" vertical="center" wrapText="1" indent="1"/>
      <protection/>
    </xf>
    <xf numFmtId="0" fontId="25" fillId="0" borderId="10" xfId="57" applyFont="1" applyFill="1" applyBorder="1" applyAlignment="1" applyProtection="1">
      <alignment horizontal="left" vertical="center" wrapText="1" indent="1"/>
      <protection/>
    </xf>
    <xf numFmtId="0" fontId="11" fillId="0" borderId="10" xfId="57" applyFont="1" applyFill="1" applyBorder="1" applyAlignment="1" applyProtection="1">
      <alignment horizontal="left" vertical="center" wrapText="1" indent="2"/>
      <protection/>
    </xf>
    <xf numFmtId="0" fontId="26" fillId="2" borderId="10" xfId="57" applyFont="1" applyFill="1" applyBorder="1" applyAlignment="1" applyProtection="1">
      <alignment horizontal="left" vertical="center" wrapText="1" indent="1"/>
      <protection/>
    </xf>
    <xf numFmtId="0" fontId="26" fillId="18" borderId="10" xfId="57" applyFont="1" applyFill="1" applyBorder="1" applyAlignment="1" applyProtection="1">
      <alignment horizontal="left" vertical="center" wrapText="1" indent="1"/>
      <protection/>
    </xf>
    <xf numFmtId="0" fontId="25" fillId="18" borderId="10" xfId="57" applyFont="1" applyFill="1" applyBorder="1" applyAlignment="1" applyProtection="1">
      <alignment horizontal="left" vertical="center" wrapText="1" indent="1"/>
      <protection/>
    </xf>
    <xf numFmtId="0" fontId="11" fillId="0" borderId="10" xfId="57" applyFont="1" applyFill="1" applyBorder="1" applyAlignment="1" applyProtection="1">
      <alignment vertical="top" wrapText="1"/>
      <protection/>
    </xf>
    <xf numFmtId="0" fontId="11" fillId="0" borderId="10" xfId="57" applyFont="1" applyFill="1" applyBorder="1" applyAlignment="1" applyProtection="1">
      <alignment vertical="center" wrapText="1"/>
      <protection/>
    </xf>
    <xf numFmtId="0" fontId="10" fillId="0" borderId="0" xfId="57" applyFont="1" applyFill="1">
      <alignment/>
      <protection/>
    </xf>
    <xf numFmtId="0" fontId="10" fillId="0" borderId="0" xfId="57" applyFont="1" applyFill="1" applyBorder="1" applyAlignment="1" applyProtection="1">
      <alignment horizontal="center" vertical="center" wrapText="1"/>
      <protection/>
    </xf>
    <xf numFmtId="0" fontId="10" fillId="0" borderId="0" xfId="57" applyFont="1" applyFill="1" applyBorder="1" applyAlignment="1" applyProtection="1">
      <alignment vertical="center" wrapText="1"/>
      <protection/>
    </xf>
    <xf numFmtId="164" fontId="10" fillId="0" borderId="0" xfId="57" applyNumberFormat="1" applyFont="1" applyFill="1" applyBorder="1" applyAlignment="1" applyProtection="1">
      <alignment vertical="center" wrapText="1"/>
      <protection/>
    </xf>
    <xf numFmtId="164" fontId="10" fillId="0" borderId="0" xfId="57" applyNumberFormat="1" applyFont="1" applyFill="1" applyBorder="1" applyAlignment="1" applyProtection="1">
      <alignment horizontal="centerContinuous" vertical="center"/>
      <protection/>
    </xf>
    <xf numFmtId="0" fontId="10" fillId="18" borderId="10" xfId="57" applyFont="1" applyFill="1" applyBorder="1" applyAlignment="1" applyProtection="1">
      <alignment vertical="center" wrapText="1"/>
      <protection/>
    </xf>
    <xf numFmtId="0" fontId="11" fillId="0" borderId="10" xfId="57" applyFont="1" applyFill="1" applyBorder="1" applyAlignment="1" applyProtection="1">
      <alignment horizontal="left" indent="1"/>
      <protection/>
    </xf>
    <xf numFmtId="164" fontId="10" fillId="18" borderId="10" xfId="57" applyNumberFormat="1" applyFont="1" applyFill="1" applyBorder="1" applyAlignment="1" applyProtection="1">
      <alignment vertical="center" wrapText="1"/>
      <protection/>
    </xf>
    <xf numFmtId="1" fontId="11" fillId="0" borderId="10" xfId="57" applyNumberFormat="1" applyFont="1" applyFill="1" applyBorder="1" applyAlignment="1" applyProtection="1">
      <alignment horizontal="left" vertical="center" wrapText="1" indent="1"/>
      <protection/>
    </xf>
    <xf numFmtId="164" fontId="10" fillId="16" borderId="10" xfId="57" applyNumberFormat="1" applyFont="1" applyFill="1" applyBorder="1" applyAlignment="1" applyProtection="1">
      <alignment vertical="center" wrapText="1"/>
      <protection locked="0"/>
    </xf>
    <xf numFmtId="0" fontId="11" fillId="16" borderId="10" xfId="57" applyFont="1" applyFill="1" applyBorder="1" applyAlignment="1" applyProtection="1">
      <alignment horizontal="left" vertical="center" wrapText="1" inden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0" fontId="11" fillId="0" borderId="10" xfId="57" applyFont="1" applyFill="1" applyBorder="1">
      <alignment/>
      <protection/>
    </xf>
    <xf numFmtId="164" fontId="11" fillId="0" borderId="10" xfId="57" applyNumberFormat="1" applyFont="1" applyFill="1" applyBorder="1">
      <alignment/>
      <protection/>
    </xf>
    <xf numFmtId="0" fontId="23" fillId="0" borderId="0" xfId="0" applyFont="1" applyAlignment="1">
      <alignment/>
    </xf>
    <xf numFmtId="164" fontId="11" fillId="0" borderId="10" xfId="57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0" fontId="17" fillId="18" borderId="11" xfId="0" applyFont="1" applyFill="1" applyBorder="1" applyAlignment="1">
      <alignment horizontal="left" vertical="center"/>
    </xf>
    <xf numFmtId="3" fontId="17" fillId="18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17" fillId="18" borderId="10" xfId="0" applyNumberFormat="1" applyFont="1" applyFill="1" applyBorder="1" applyAlignment="1">
      <alignment horizontal="right" vertical="center"/>
    </xf>
    <xf numFmtId="164" fontId="6" fillId="16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/>
    </xf>
    <xf numFmtId="3" fontId="0" fillId="16" borderId="10" xfId="0" applyNumberFormat="1" applyFill="1" applyBorder="1" applyAlignment="1">
      <alignment/>
    </xf>
    <xf numFmtId="0" fontId="13" fillId="4" borderId="10" xfId="0" applyFont="1" applyFill="1" applyBorder="1" applyAlignment="1">
      <alignment/>
    </xf>
    <xf numFmtId="0" fontId="10" fillId="0" borderId="10" xfId="57" applyFont="1" applyFill="1" applyBorder="1" applyAlignment="1" applyProtection="1">
      <alignment horizontal="left" vertical="center" wrapText="1"/>
      <protection/>
    </xf>
    <xf numFmtId="164" fontId="10" fillId="0" borderId="10" xfId="57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ont="1" applyFill="1" applyAlignment="1">
      <alignment vertical="center" wrapText="1"/>
    </xf>
    <xf numFmtId="3" fontId="14" fillId="16" borderId="12" xfId="0" applyNumberFormat="1" applyFont="1" applyFill="1" applyBorder="1" applyAlignment="1">
      <alignment/>
    </xf>
    <xf numFmtId="164" fontId="10" fillId="0" borderId="0" xfId="57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>
      <alignment horizontal="right" vertical="center" wrapText="1"/>
    </xf>
    <xf numFmtId="164" fontId="11" fillId="0" borderId="10" xfId="0" applyNumberFormat="1" applyFont="1" applyFill="1" applyBorder="1" applyAlignment="1" applyProtection="1">
      <alignment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164" fontId="11" fillId="0" borderId="0" xfId="57" applyNumberFormat="1" applyFont="1" applyFill="1" applyBorder="1" applyAlignment="1" applyProtection="1">
      <alignment horizontal="left" vertical="center" wrapText="1"/>
      <protection/>
    </xf>
    <xf numFmtId="3" fontId="18" fillId="16" borderId="10" xfId="0" applyNumberFormat="1" applyFont="1" applyFill="1" applyBorder="1" applyAlignment="1">
      <alignment/>
    </xf>
    <xf numFmtId="0" fontId="10" fillId="0" borderId="10" xfId="57" applyFont="1" applyFill="1" applyBorder="1" applyAlignment="1" applyProtection="1">
      <alignment horizontal="center" vertical="center" wrapText="1"/>
      <protection/>
    </xf>
    <xf numFmtId="164" fontId="10" fillId="16" borderId="10" xfId="57" applyNumberFormat="1" applyFont="1" applyFill="1" applyBorder="1" applyAlignment="1" applyProtection="1">
      <alignment horizontal="right" vertical="center" wrapText="1"/>
      <protection/>
    </xf>
    <xf numFmtId="164" fontId="10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0" xfId="0" applyNumberFormat="1" applyFill="1" applyAlignment="1">
      <alignment horizontal="right" vertical="center" wrapText="1"/>
    </xf>
    <xf numFmtId="0" fontId="13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13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8" fillId="0" borderId="10" xfId="0" applyFont="1" applyBorder="1" applyAlignment="1">
      <alignment/>
    </xf>
    <xf numFmtId="3" fontId="13" fillId="0" borderId="15" xfId="0" applyNumberFormat="1" applyFont="1" applyFill="1" applyBorder="1" applyAlignment="1">
      <alignment horizontal="right"/>
    </xf>
    <xf numFmtId="3" fontId="16" fillId="18" borderId="10" xfId="0" applyNumberFormat="1" applyFont="1" applyFill="1" applyBorder="1" applyAlignment="1">
      <alignment horizontal="right" vertical="center"/>
    </xf>
    <xf numFmtId="3" fontId="0" fillId="0" borderId="12" xfId="0" applyNumberFormat="1" applyBorder="1" applyAlignment="1">
      <alignment/>
    </xf>
    <xf numFmtId="164" fontId="5" fillId="0" borderId="0" xfId="0" applyNumberFormat="1" applyFont="1" applyFill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13" fillId="18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3" fontId="17" fillId="0" borderId="12" xfId="0" applyNumberFormat="1" applyFont="1" applyBorder="1" applyAlignment="1">
      <alignment/>
    </xf>
    <xf numFmtId="3" fontId="17" fillId="17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/>
      <protection/>
    </xf>
    <xf numFmtId="49" fontId="11" fillId="0" borderId="10" xfId="57" applyNumberFormat="1" applyFont="1" applyFill="1" applyBorder="1" applyAlignment="1" applyProtection="1">
      <alignment horizontal="left" vertical="center" wrapText="1" indent="1"/>
      <protection/>
    </xf>
    <xf numFmtId="164" fontId="11" fillId="0" borderId="10" xfId="57" applyNumberFormat="1" applyFont="1" applyFill="1" applyBorder="1" applyAlignment="1" applyProtection="1">
      <alignment vertical="center" wrapText="1"/>
      <protection locked="0"/>
    </xf>
    <xf numFmtId="164" fontId="11" fillId="16" borderId="10" xfId="57" applyNumberFormat="1" applyFont="1" applyFill="1" applyBorder="1" applyAlignment="1" applyProtection="1">
      <alignment vertical="center" wrapText="1"/>
      <protection locked="0"/>
    </xf>
    <xf numFmtId="49" fontId="10" fillId="16" borderId="10" xfId="57" applyNumberFormat="1" applyFont="1" applyFill="1" applyBorder="1" applyAlignment="1" applyProtection="1">
      <alignment horizontal="left" vertical="center" wrapText="1" indent="1"/>
      <protection/>
    </xf>
    <xf numFmtId="164" fontId="10" fillId="0" borderId="10" xfId="57" applyNumberFormat="1" applyFont="1" applyFill="1" applyBorder="1" applyAlignment="1" applyProtection="1">
      <alignment vertical="center" wrapText="1"/>
      <protection locked="0"/>
    </xf>
    <xf numFmtId="164" fontId="11" fillId="0" borderId="10" xfId="57" applyNumberFormat="1" applyFont="1" applyFill="1" applyBorder="1" applyAlignment="1" applyProtection="1">
      <alignment vertical="center" wrapText="1"/>
      <protection locked="0"/>
    </xf>
    <xf numFmtId="0" fontId="10" fillId="0" borderId="16" xfId="57" applyFont="1" applyFill="1" applyBorder="1" applyAlignment="1" applyProtection="1">
      <alignment horizontal="center" vertical="center" wrapText="1"/>
      <protection/>
    </xf>
    <xf numFmtId="0" fontId="10" fillId="0" borderId="17" xfId="57" applyFont="1" applyFill="1" applyBorder="1" applyAlignment="1" applyProtection="1">
      <alignment horizontal="center" vertical="center" wrapText="1"/>
      <protection/>
    </xf>
    <xf numFmtId="3" fontId="10" fillId="2" borderId="10" xfId="57" applyNumberFormat="1" applyFont="1" applyFill="1" applyBorder="1" applyAlignment="1" applyProtection="1">
      <alignment horizontal="right" vertical="center" wrapText="1"/>
      <protection/>
    </xf>
    <xf numFmtId="3" fontId="10" fillId="18" borderId="10" xfId="57" applyNumberFormat="1" applyFont="1" applyFill="1" applyBorder="1" applyAlignment="1" applyProtection="1">
      <alignment horizontal="right" vertical="center" wrapText="1"/>
      <protection/>
    </xf>
    <xf numFmtId="3" fontId="11" fillId="18" borderId="10" xfId="57" applyNumberFormat="1" applyFont="1" applyFill="1" applyBorder="1" applyAlignment="1" applyProtection="1">
      <alignment horizontal="right" vertical="center" wrapText="1"/>
      <protection/>
    </xf>
    <xf numFmtId="3" fontId="10" fillId="18" borderId="10" xfId="57" applyNumberFormat="1" applyFont="1" applyFill="1" applyBorder="1" applyAlignment="1" applyProtection="1">
      <alignment horizontal="right" vertical="center" wrapText="1"/>
      <protection locked="0"/>
    </xf>
    <xf numFmtId="164" fontId="10" fillId="16" borderId="10" xfId="57" applyNumberFormat="1" applyFont="1" applyFill="1" applyBorder="1" applyAlignment="1" applyProtection="1">
      <alignment horizontal="right" vertical="center" wrapText="1"/>
      <protection locked="0"/>
    </xf>
    <xf numFmtId="164" fontId="11" fillId="0" borderId="10" xfId="57" applyNumberFormat="1" applyFont="1" applyFill="1" applyBorder="1" applyAlignment="1" applyProtection="1">
      <alignment horizontal="right" vertical="center" wrapText="1"/>
      <protection locked="0"/>
    </xf>
    <xf numFmtId="164" fontId="11" fillId="0" borderId="10" xfId="57" applyNumberFormat="1" applyFont="1" applyFill="1" applyBorder="1" applyAlignment="1" applyProtection="1">
      <alignment horizontal="right" vertical="center" wrapText="1"/>
      <protection locked="0"/>
    </xf>
    <xf numFmtId="164" fontId="11" fillId="16" borderId="10" xfId="57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57" applyFont="1" applyFill="1" applyBorder="1" applyAlignment="1" applyProtection="1">
      <alignment horizontal="right" vertical="center" wrapText="1"/>
      <protection/>
    </xf>
    <xf numFmtId="49" fontId="11" fillId="2" borderId="10" xfId="57" applyNumberFormat="1" applyFont="1" applyFill="1" applyBorder="1" applyAlignment="1" applyProtection="1">
      <alignment horizontal="left" vertical="center" wrapText="1" indent="1"/>
      <protection/>
    </xf>
    <xf numFmtId="3" fontId="25" fillId="0" borderId="10" xfId="57" applyNumberFormat="1" applyFont="1" applyFill="1" applyBorder="1" applyAlignment="1" applyProtection="1">
      <alignment horizontal="right" vertical="center" wrapText="1"/>
      <protection locked="0"/>
    </xf>
    <xf numFmtId="3" fontId="25" fillId="16" borderId="10" xfId="57" applyNumberFormat="1" applyFont="1" applyFill="1" applyBorder="1" applyAlignment="1" applyProtection="1">
      <alignment horizontal="right" vertical="center" wrapText="1"/>
      <protection locked="0"/>
    </xf>
    <xf numFmtId="3" fontId="11" fillId="16" borderId="10" xfId="57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16" borderId="10" xfId="57" applyNumberFormat="1" applyFont="1" applyFill="1" applyBorder="1" applyAlignment="1" applyProtection="1">
      <alignment horizontal="right" vertical="center" wrapText="1"/>
      <protection/>
    </xf>
    <xf numFmtId="49" fontId="11" fillId="18" borderId="10" xfId="57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57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/>
      <protection/>
    </xf>
    <xf numFmtId="164" fontId="10" fillId="0" borderId="10" xfId="0" applyNumberFormat="1" applyFont="1" applyFill="1" applyBorder="1" applyAlignment="1">
      <alignment horizontal="right" vertical="center" wrapText="1" indent="1"/>
    </xf>
    <xf numFmtId="164" fontId="6" fillId="0" borderId="10" xfId="0" applyNumberFormat="1" applyFont="1" applyFill="1" applyBorder="1" applyAlignment="1">
      <alignment horizontal="centerContinuous" vertical="center" wrapText="1"/>
    </xf>
    <xf numFmtId="164" fontId="11" fillId="0" borderId="10" xfId="57" applyNumberFormat="1" applyFont="1" applyFill="1" applyBorder="1" applyAlignment="1" applyProtection="1">
      <alignment vertical="center" wrapText="1"/>
      <protection locked="0"/>
    </xf>
    <xf numFmtId="164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11" fillId="0" borderId="17" xfId="0" applyFont="1" applyBorder="1" applyAlignment="1">
      <alignment horizontal="right" vertical="center" indent="1"/>
    </xf>
    <xf numFmtId="0" fontId="11" fillId="0" borderId="18" xfId="0" applyFont="1" applyBorder="1" applyAlignment="1">
      <alignment horizontal="right" vertical="center" indent="1"/>
    </xf>
    <xf numFmtId="0" fontId="11" fillId="0" borderId="15" xfId="0" applyFont="1" applyBorder="1" applyAlignment="1">
      <alignment horizontal="right" vertical="center" indent="1"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 applyProtection="1">
      <alignment vertical="center" wrapText="1"/>
      <protection/>
    </xf>
    <xf numFmtId="0" fontId="13" fillId="16" borderId="0" xfId="0" applyFont="1" applyFill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14" fontId="13" fillId="0" borderId="2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3" fillId="4" borderId="14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Border="1" applyAlignment="1">
      <alignment/>
    </xf>
    <xf numFmtId="0" fontId="13" fillId="16" borderId="22" xfId="0" applyFont="1" applyFill="1" applyBorder="1" applyAlignment="1">
      <alignment/>
    </xf>
    <xf numFmtId="3" fontId="13" fillId="16" borderId="23" xfId="0" applyNumberFormat="1" applyFont="1" applyFill="1" applyBorder="1" applyAlignment="1">
      <alignment/>
    </xf>
    <xf numFmtId="0" fontId="13" fillId="4" borderId="22" xfId="0" applyFont="1" applyFill="1" applyBorder="1" applyAlignment="1">
      <alignment/>
    </xf>
    <xf numFmtId="3" fontId="13" fillId="4" borderId="23" xfId="0" applyNumberFormat="1" applyFont="1" applyFill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0" xfId="0" applyNumberFormat="1" applyFill="1" applyBorder="1" applyAlignment="1">
      <alignment vertical="center" wrapText="1"/>
    </xf>
    <xf numFmtId="3" fontId="10" fillId="0" borderId="10" xfId="0" applyNumberFormat="1" applyFont="1" applyFill="1" applyBorder="1" applyAlignment="1" applyProtection="1">
      <alignment vertical="center" wrapText="1"/>
      <protection/>
    </xf>
    <xf numFmtId="0" fontId="6" fillId="18" borderId="22" xfId="0" applyFont="1" applyFill="1" applyBorder="1" applyAlignment="1">
      <alignment/>
    </xf>
    <xf numFmtId="3" fontId="6" fillId="18" borderId="23" xfId="0" applyNumberFormat="1" applyFont="1" applyFill="1" applyBorder="1" applyAlignment="1">
      <alignment/>
    </xf>
    <xf numFmtId="1" fontId="44" fillId="17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2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164" fontId="3" fillId="0" borderId="0" xfId="0" applyNumberFormat="1" applyFont="1" applyFill="1" applyAlignment="1">
      <alignment horizontal="right" vertical="center" wrapText="1"/>
    </xf>
    <xf numFmtId="3" fontId="45" fillId="0" borderId="10" xfId="0" applyNumberFormat="1" applyFont="1" applyFill="1" applyBorder="1" applyAlignment="1">
      <alignment vertical="center" wrapText="1"/>
    </xf>
    <xf numFmtId="0" fontId="45" fillId="0" borderId="10" xfId="57" applyFont="1" applyFill="1" applyBorder="1" applyAlignment="1" applyProtection="1">
      <alignment horizontal="left" vertical="center" wrapText="1" indent="1"/>
      <protection/>
    </xf>
    <xf numFmtId="3" fontId="45" fillId="0" borderId="10" xfId="0" applyNumberFormat="1" applyFont="1" applyFill="1" applyBorder="1" applyAlignment="1" applyProtection="1">
      <alignment vertical="center" wrapText="1"/>
      <protection locked="0"/>
    </xf>
    <xf numFmtId="164" fontId="45" fillId="0" borderId="10" xfId="0" applyNumberFormat="1" applyFont="1" applyFill="1" applyBorder="1" applyAlignment="1">
      <alignment horizontal="left" vertical="center" wrapText="1"/>
    </xf>
    <xf numFmtId="164" fontId="45" fillId="0" borderId="10" xfId="0" applyNumberFormat="1" applyFont="1" applyFill="1" applyBorder="1" applyAlignment="1" applyProtection="1">
      <alignment horizontal="left" vertical="center" wrapText="1"/>
      <protection/>
    </xf>
    <xf numFmtId="164" fontId="45" fillId="0" borderId="10" xfId="0" applyNumberFormat="1" applyFont="1" applyFill="1" applyBorder="1" applyAlignment="1" applyProtection="1">
      <alignment horizontal="right" vertical="center" wrapText="1"/>
      <protection/>
    </xf>
    <xf numFmtId="1" fontId="45" fillId="0" borderId="10" xfId="0" applyNumberFormat="1" applyFont="1" applyFill="1" applyBorder="1" applyAlignment="1" applyProtection="1">
      <alignment horizontal="center" vertical="center" wrapText="1"/>
      <protection/>
    </xf>
    <xf numFmtId="3" fontId="45" fillId="0" borderId="10" xfId="0" applyNumberFormat="1" applyFont="1" applyFill="1" applyBorder="1" applyAlignment="1" applyProtection="1">
      <alignment vertical="center" wrapText="1"/>
      <protection locked="0"/>
    </xf>
    <xf numFmtId="3" fontId="45" fillId="0" borderId="10" xfId="0" applyNumberFormat="1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vertical="center" wrapText="1"/>
    </xf>
    <xf numFmtId="164" fontId="21" fillId="0" borderId="10" xfId="0" applyNumberFormat="1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right"/>
    </xf>
    <xf numFmtId="14" fontId="17" fillId="0" borderId="18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6" fillId="16" borderId="17" xfId="0" applyFont="1" applyFill="1" applyBorder="1" applyAlignment="1">
      <alignment vertical="center"/>
    </xf>
    <xf numFmtId="0" fontId="46" fillId="16" borderId="10" xfId="0" applyFont="1" applyFill="1" applyBorder="1" applyAlignment="1">
      <alignment vertical="center"/>
    </xf>
    <xf numFmtId="3" fontId="46" fillId="16" borderId="10" xfId="0" applyNumberFormat="1" applyFont="1" applyFill="1" applyBorder="1" applyAlignment="1">
      <alignment vertical="center"/>
    </xf>
    <xf numFmtId="0" fontId="47" fillId="4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8" fillId="0" borderId="0" xfId="0" applyFont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 applyProtection="1">
      <alignment horizontal="left" vertical="center" wrapText="1" indent="1"/>
      <protection locked="0"/>
    </xf>
    <xf numFmtId="0" fontId="43" fillId="0" borderId="10" xfId="0" applyFont="1" applyBorder="1" applyAlignment="1">
      <alignment horizontal="left" vertical="center" indent="5"/>
    </xf>
    <xf numFmtId="0" fontId="43" fillId="0" borderId="10" xfId="0" applyFont="1" applyBorder="1" applyAlignment="1">
      <alignment horizontal="left" vertical="center" indent="1"/>
    </xf>
    <xf numFmtId="0" fontId="43" fillId="0" borderId="0" xfId="58" applyFont="1">
      <alignment/>
      <protection/>
    </xf>
    <xf numFmtId="0" fontId="48" fillId="0" borderId="0" xfId="58" applyFont="1" applyAlignment="1" applyProtection="1">
      <alignment horizontal="center" vertical="center"/>
      <protection locked="0"/>
    </xf>
    <xf numFmtId="0" fontId="52" fillId="0" borderId="10" xfId="58" applyFont="1" applyBorder="1" applyAlignment="1" quotePrefix="1">
      <alignment horizontal="center" vertical="center" wrapText="1"/>
      <protection/>
    </xf>
    <xf numFmtId="0" fontId="52" fillId="0" borderId="10" xfId="58" applyFont="1" applyBorder="1" applyAlignment="1">
      <alignment horizontal="center" vertical="center"/>
      <protection/>
    </xf>
    <xf numFmtId="0" fontId="54" fillId="0" borderId="10" xfId="58" applyFont="1" applyBorder="1" applyAlignment="1">
      <alignment horizontal="center" vertical="center" wrapText="1"/>
      <protection/>
    </xf>
    <xf numFmtId="0" fontId="54" fillId="0" borderId="10" xfId="58" applyFont="1" applyBorder="1" applyAlignment="1">
      <alignment horizontal="center" vertical="center"/>
      <protection/>
    </xf>
    <xf numFmtId="166" fontId="55" fillId="0" borderId="10" xfId="58" applyNumberFormat="1" applyFont="1" applyBorder="1" applyAlignment="1">
      <alignment horizontal="center" vertical="center"/>
      <protection/>
    </xf>
    <xf numFmtId="0" fontId="53" fillId="0" borderId="10" xfId="58" applyFont="1" applyBorder="1" applyAlignment="1">
      <alignment horizontal="left" vertical="center" wrapText="1" indent="1"/>
      <protection/>
    </xf>
    <xf numFmtId="3" fontId="43" fillId="0" borderId="10" xfId="58" applyNumberFormat="1" applyFont="1" applyBorder="1" applyAlignment="1">
      <alignment vertical="center"/>
      <protection/>
    </xf>
    <xf numFmtId="0" fontId="53" fillId="0" borderId="10" xfId="58" applyFont="1" applyBorder="1" applyAlignment="1" quotePrefix="1">
      <alignment horizontal="left" vertical="center" wrapText="1" indent="1"/>
      <protection/>
    </xf>
    <xf numFmtId="0" fontId="43" fillId="0" borderId="10" xfId="58" applyFont="1" applyBorder="1" applyAlignment="1">
      <alignment vertical="center"/>
      <protection/>
    </xf>
    <xf numFmtId="0" fontId="52" fillId="0" borderId="10" xfId="58" applyFont="1" applyFill="1" applyBorder="1" applyAlignment="1" quotePrefix="1">
      <alignment horizontal="left" vertical="center" wrapText="1" indent="1"/>
      <protection/>
    </xf>
    <xf numFmtId="179" fontId="52" fillId="0" borderId="10" xfId="58" applyNumberFormat="1" applyFont="1" applyFill="1" applyBorder="1" applyAlignment="1" applyProtection="1">
      <alignment horizontal="right" vertical="center"/>
      <protection/>
    </xf>
    <xf numFmtId="3" fontId="43" fillId="0" borderId="10" xfId="58" applyNumberFormat="1" applyFont="1" applyFill="1" applyBorder="1" applyAlignment="1">
      <alignment vertical="center"/>
      <protection/>
    </xf>
    <xf numFmtId="0" fontId="43" fillId="0" borderId="0" xfId="0" applyFont="1" applyFill="1" applyAlignment="1">
      <alignment/>
    </xf>
    <xf numFmtId="0" fontId="43" fillId="0" borderId="10" xfId="58" applyFont="1" applyFill="1" applyBorder="1" applyAlignment="1">
      <alignment vertical="center"/>
      <protection/>
    </xf>
    <xf numFmtId="0" fontId="55" fillId="0" borderId="10" xfId="58" applyFont="1" applyBorder="1" applyAlignment="1">
      <alignment horizontal="left" vertical="center" wrapText="1" indent="1"/>
      <protection/>
    </xf>
    <xf numFmtId="0" fontId="55" fillId="0" borderId="10" xfId="58" applyFont="1" applyBorder="1" applyAlignment="1" quotePrefix="1">
      <alignment horizontal="left" vertical="center" wrapText="1" indent="1"/>
      <protection/>
    </xf>
    <xf numFmtId="179" fontId="52" fillId="0" borderId="10" xfId="58" applyNumberFormat="1" applyFont="1" applyFill="1" applyBorder="1" applyAlignment="1">
      <alignment horizontal="right" vertical="center"/>
      <protection/>
    </xf>
    <xf numFmtId="0" fontId="48" fillId="0" borderId="10" xfId="58" applyFont="1" applyBorder="1" applyAlignment="1">
      <alignment horizontal="center"/>
      <protection/>
    </xf>
    <xf numFmtId="3" fontId="48" fillId="0" borderId="10" xfId="58" applyNumberFormat="1" applyFont="1" applyFill="1" applyBorder="1" applyAlignment="1">
      <alignment horizontal="center"/>
      <protection/>
    </xf>
    <xf numFmtId="0" fontId="43" fillId="0" borderId="0" xfId="0" applyFont="1" applyAlignment="1">
      <alignment/>
    </xf>
    <xf numFmtId="0" fontId="48" fillId="0" borderId="10" xfId="58" applyFont="1" applyBorder="1">
      <alignment/>
      <protection/>
    </xf>
    <xf numFmtId="0" fontId="43" fillId="0" borderId="10" xfId="58" applyFont="1" applyBorder="1">
      <alignment/>
      <protection/>
    </xf>
    <xf numFmtId="3" fontId="43" fillId="0" borderId="10" xfId="58" applyNumberFormat="1" applyFont="1" applyFill="1" applyBorder="1" applyAlignment="1">
      <alignment horizontal="right"/>
      <protection/>
    </xf>
    <xf numFmtId="0" fontId="48" fillId="0" borderId="10" xfId="0" applyFont="1" applyBorder="1" applyAlignment="1">
      <alignment horizontal="center"/>
    </xf>
    <xf numFmtId="0" fontId="53" fillId="0" borderId="10" xfId="58" applyFont="1" applyBorder="1" applyAlignment="1">
      <alignment horizontal="left" vertical="center" wrapText="1"/>
      <protection/>
    </xf>
    <xf numFmtId="0" fontId="43" fillId="0" borderId="0" xfId="0" applyFont="1" applyAlignment="1">
      <alignment vertical="center"/>
    </xf>
    <xf numFmtId="3" fontId="48" fillId="0" borderId="10" xfId="58" applyNumberFormat="1" applyFont="1" applyFill="1" applyBorder="1" applyAlignment="1">
      <alignment horizontal="right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right" vertical="center" wrapTex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164" fontId="56" fillId="0" borderId="0" xfId="0" applyNumberFormat="1" applyFont="1" applyFill="1" applyAlignment="1">
      <alignment horizontal="center" vertical="center" wrapText="1"/>
    </xf>
    <xf numFmtId="164" fontId="56" fillId="0" borderId="0" xfId="0" applyNumberFormat="1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 wrapText="1"/>
    </xf>
    <xf numFmtId="164" fontId="48" fillId="0" borderId="0" xfId="0" applyNumberFormat="1" applyFont="1" applyFill="1" applyAlignment="1">
      <alignment horizontal="center" vertical="center" wrapText="1"/>
    </xf>
    <xf numFmtId="164" fontId="57" fillId="0" borderId="0" xfId="0" applyNumberFormat="1" applyFont="1" applyFill="1" applyAlignment="1">
      <alignment horizontal="right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1" fillId="0" borderId="10" xfId="0" applyNumberFormat="1" applyFont="1" applyFill="1" applyBorder="1" applyAlignment="1" applyProtection="1">
      <alignment vertical="center" wrapText="1"/>
      <protection/>
    </xf>
    <xf numFmtId="164" fontId="11" fillId="0" borderId="10" xfId="0" applyNumberFormat="1" applyFont="1" applyFill="1" applyBorder="1" applyAlignment="1">
      <alignment vertical="center" wrapText="1"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0" xfId="0" applyNumberFormat="1" applyFont="1" applyFill="1" applyBorder="1" applyAlignment="1" applyProtection="1">
      <alignment vertical="center" wrapText="1"/>
      <protection/>
    </xf>
    <xf numFmtId="164" fontId="11" fillId="0" borderId="10" xfId="0" applyNumberFormat="1" applyFont="1" applyFill="1" applyBorder="1" applyAlignment="1">
      <alignment horizontal="left" vertical="center" wrapText="1" indent="1"/>
    </xf>
    <xf numFmtId="164" fontId="0" fillId="19" borderId="10" xfId="0" applyNumberFormat="1" applyFont="1" applyFill="1" applyBorder="1" applyAlignment="1" applyProtection="1">
      <alignment horizontal="left" vertical="center" wrapText="1" indent="2"/>
      <protection/>
    </xf>
    <xf numFmtId="3" fontId="48" fillId="0" borderId="10" xfId="58" applyNumberFormat="1" applyFont="1" applyBorder="1" applyAlignment="1">
      <alignment vertical="center"/>
      <protection/>
    </xf>
    <xf numFmtId="0" fontId="11" fillId="20" borderId="10" xfId="0" applyFont="1" applyFill="1" applyBorder="1" applyAlignment="1" applyProtection="1">
      <alignment vertical="center" wrapText="1"/>
      <protection locked="0"/>
    </xf>
    <xf numFmtId="164" fontId="11" fillId="2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0" fillId="20" borderId="10" xfId="0" applyFill="1" applyBorder="1" applyAlignment="1">
      <alignment vertical="center" wrapText="1"/>
    </xf>
    <xf numFmtId="0" fontId="0" fillId="0" borderId="0" xfId="0" applyFill="1" applyAlignment="1">
      <alignment/>
    </xf>
    <xf numFmtId="0" fontId="10" fillId="18" borderId="10" xfId="0" applyFont="1" applyFill="1" applyBorder="1" applyAlignment="1">
      <alignment/>
    </xf>
    <xf numFmtId="164" fontId="10" fillId="18" borderId="10" xfId="0" applyNumberFormat="1" applyFont="1" applyFill="1" applyBorder="1" applyAlignment="1">
      <alignment/>
    </xf>
    <xf numFmtId="0" fontId="14" fillId="0" borderId="25" xfId="0" applyFont="1" applyFill="1" applyBorder="1" applyAlignment="1">
      <alignment horizontal="left" vertical="center"/>
    </xf>
    <xf numFmtId="3" fontId="18" fillId="0" borderId="10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left" vertical="center"/>
    </xf>
    <xf numFmtId="3" fontId="16" fillId="0" borderId="23" xfId="0" applyNumberFormat="1" applyFont="1" applyFill="1" applyBorder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right" vertical="center"/>
    </xf>
    <xf numFmtId="3" fontId="16" fillId="0" borderId="29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3" fontId="14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 vertical="center"/>
    </xf>
    <xf numFmtId="3" fontId="14" fillId="0" borderId="32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/>
    </xf>
    <xf numFmtId="0" fontId="17" fillId="0" borderId="17" xfId="0" applyFont="1" applyBorder="1" applyAlignment="1">
      <alignment vertical="center"/>
    </xf>
    <xf numFmtId="164" fontId="11" fillId="0" borderId="0" xfId="5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/>
    </xf>
    <xf numFmtId="0" fontId="10" fillId="0" borderId="0" xfId="0" applyFont="1" applyFill="1" applyBorder="1" applyAlignment="1" applyProtection="1">
      <alignment horizontal="right"/>
      <protection/>
    </xf>
    <xf numFmtId="0" fontId="17" fillId="0" borderId="33" xfId="0" applyFont="1" applyBorder="1" applyAlignment="1">
      <alignment horizontal="center"/>
    </xf>
    <xf numFmtId="0" fontId="17" fillId="0" borderId="3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44" fontId="17" fillId="0" borderId="34" xfId="60" applyFont="1" applyBorder="1" applyAlignment="1">
      <alignment horizontal="center"/>
    </xf>
    <xf numFmtId="44" fontId="17" fillId="0" borderId="13" xfId="60" applyFont="1" applyBorder="1" applyAlignment="1">
      <alignment horizontal="center"/>
    </xf>
    <xf numFmtId="44" fontId="17" fillId="0" borderId="33" xfId="60" applyFont="1" applyBorder="1" applyAlignment="1">
      <alignment horizontal="center"/>
    </xf>
    <xf numFmtId="44" fontId="17" fillId="0" borderId="11" xfId="60" applyFont="1" applyBorder="1" applyAlignment="1">
      <alignment horizontal="center"/>
    </xf>
    <xf numFmtId="44" fontId="17" fillId="0" borderId="35" xfId="6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21" fillId="4" borderId="0" xfId="57" applyFont="1" applyFill="1" applyAlignment="1">
      <alignment horizontal="center"/>
      <protection/>
    </xf>
    <xf numFmtId="0" fontId="5" fillId="4" borderId="0" xfId="57" applyFont="1" applyFill="1" applyAlignment="1">
      <alignment horizontal="center"/>
      <protection/>
    </xf>
    <xf numFmtId="0" fontId="10" fillId="0" borderId="0" xfId="57" applyFont="1" applyFill="1" applyAlignment="1">
      <alignment horizontal="right"/>
      <protection/>
    </xf>
    <xf numFmtId="164" fontId="10" fillId="0" borderId="0" xfId="57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5" fillId="0" borderId="0" xfId="57" applyFont="1" applyFill="1" applyAlignment="1">
      <alignment horizontal="right"/>
      <protection/>
    </xf>
    <xf numFmtId="164" fontId="3" fillId="0" borderId="0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57" applyFont="1" applyFill="1" applyAlignment="1">
      <alignment horizont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44" fontId="17" fillId="0" borderId="36" xfId="60" applyFont="1" applyBorder="1" applyAlignment="1">
      <alignment horizontal="center"/>
    </xf>
    <xf numFmtId="0" fontId="5" fillId="0" borderId="0" xfId="0" applyFont="1" applyAlignment="1">
      <alignment horizontal="right"/>
    </xf>
    <xf numFmtId="44" fontId="5" fillId="0" borderId="0" xfId="60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3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3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7" fontId="4" fillId="0" borderId="0" xfId="0" applyNumberFormat="1" applyFont="1" applyAlignment="1">
      <alignment horizontal="right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5" fillId="0" borderId="35" xfId="0" applyFont="1" applyBorder="1" applyAlignment="1">
      <alignment horizontal="right"/>
    </xf>
    <xf numFmtId="0" fontId="17" fillId="0" borderId="3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3" fillId="0" borderId="34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17" fillId="0" borderId="3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4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33" xfId="0" applyFont="1" applyBorder="1" applyAlignment="1">
      <alignment/>
    </xf>
    <xf numFmtId="0" fontId="16" fillId="0" borderId="5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4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44" fontId="21" fillId="0" borderId="0" xfId="0" applyNumberFormat="1" applyFont="1" applyAlignment="1">
      <alignment horizontal="center"/>
    </xf>
    <xf numFmtId="0" fontId="16" fillId="0" borderId="3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5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7" fillId="0" borderId="1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3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3" fillId="0" borderId="6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 wrapText="1"/>
    </xf>
    <xf numFmtId="0" fontId="13" fillId="0" borderId="42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14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Fill="1" applyAlignment="1">
      <alignment horizontal="right"/>
    </xf>
    <xf numFmtId="0" fontId="48" fillId="0" borderId="0" xfId="0" applyFont="1" applyAlignment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horizontal="right" vertical="center" wrapText="1"/>
    </xf>
    <xf numFmtId="178" fontId="52" fillId="0" borderId="10" xfId="0" applyNumberFormat="1" applyFont="1" applyFill="1" applyBorder="1" applyAlignment="1" applyProtection="1">
      <alignment horizontal="right" vertical="center"/>
      <protection locked="0"/>
    </xf>
    <xf numFmtId="178" fontId="53" fillId="0" borderId="10" xfId="0" applyNumberFormat="1" applyFont="1" applyFill="1" applyBorder="1" applyAlignment="1" applyProtection="1">
      <alignment horizontal="right" vertical="center"/>
      <protection locked="0"/>
    </xf>
    <xf numFmtId="0" fontId="48" fillId="0" borderId="0" xfId="58" applyFont="1" applyAlignment="1">
      <alignment horizontal="center"/>
      <protection/>
    </xf>
    <xf numFmtId="0" fontId="48" fillId="0" borderId="0" xfId="58" applyFont="1" applyAlignment="1" applyProtection="1">
      <alignment horizontal="center" vertical="center"/>
      <protection locked="0"/>
    </xf>
    <xf numFmtId="0" fontId="49" fillId="0" borderId="0" xfId="58" applyFont="1" applyBorder="1" applyAlignment="1">
      <alignment horizontal="right"/>
      <protection/>
    </xf>
    <xf numFmtId="178" fontId="53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0" xfId="58" applyFont="1" applyFill="1" applyAlignment="1">
      <alignment horizontal="right"/>
      <protection/>
    </xf>
    <xf numFmtId="164" fontId="57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justify" vertical="center" wrapText="1"/>
    </xf>
    <xf numFmtId="0" fontId="49" fillId="0" borderId="0" xfId="0" applyFont="1" applyFill="1" applyAlignment="1">
      <alignment horizontal="right"/>
    </xf>
    <xf numFmtId="14" fontId="48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64" fontId="48" fillId="0" borderId="0" xfId="0" applyNumberFormat="1" applyFont="1" applyFill="1" applyAlignment="1">
      <alignment horizontal="right" vertical="center" wrapText="1"/>
    </xf>
    <xf numFmtId="164" fontId="48" fillId="0" borderId="0" xfId="0" applyNumberFormat="1" applyFont="1" applyFill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left" vertical="center" wrapText="1" indent="2"/>
    </xf>
    <xf numFmtId="164" fontId="0" fillId="0" borderId="13" xfId="0" applyNumberForma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Normál_KVRENMUNKA" xfId="57"/>
    <cellStyle name="Normál_mint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40"/>
  <sheetViews>
    <sheetView zoomScale="85" zoomScaleNormal="85" zoomScalePageLayoutView="0" workbookViewId="0" topLeftCell="A1">
      <selection activeCell="K5" sqref="K5:K6"/>
    </sheetView>
  </sheetViews>
  <sheetFormatPr defaultColWidth="9.00390625" defaultRowHeight="12.75"/>
  <cols>
    <col min="1" max="5" width="9.375" style="3" customWidth="1"/>
    <col min="6" max="6" width="4.625" style="3" customWidth="1"/>
    <col min="7" max="16384" width="9.375" style="3" customWidth="1"/>
  </cols>
  <sheetData>
    <row r="1" ht="15.75" customHeight="1"/>
    <row r="2" ht="15.75" customHeight="1"/>
    <row r="3" ht="37.5" customHeight="1"/>
    <row r="4" s="4" customFormat="1" ht="12" customHeight="1"/>
    <row r="5" s="1" customFormat="1" ht="12" customHeight="1"/>
    <row r="6" s="1" customFormat="1" ht="12" customHeight="1"/>
    <row r="7" s="1" customFormat="1" ht="12" customHeight="1"/>
    <row r="8" s="1" customFormat="1" ht="12" customHeight="1"/>
    <row r="9" spans="1:10" s="1" customFormat="1" ht="12" customHeight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0" s="1" customFormat="1" ht="12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</row>
    <row r="11" spans="1:10" s="1" customFormat="1" ht="12.75">
      <c r="A11" s="63"/>
      <c r="B11" s="63"/>
      <c r="C11" s="63"/>
      <c r="D11" s="63"/>
      <c r="E11" s="63"/>
      <c r="F11" s="63"/>
      <c r="G11" s="63"/>
      <c r="H11" s="63"/>
      <c r="I11" s="63"/>
      <c r="J11" s="63"/>
    </row>
    <row r="12" spans="1:10" s="1" customFormat="1" ht="18.75" customHeight="1">
      <c r="A12" s="421" t="s">
        <v>77</v>
      </c>
      <c r="B12" s="421"/>
      <c r="C12" s="421"/>
      <c r="D12" s="421"/>
      <c r="E12" s="421"/>
      <c r="F12" s="421"/>
      <c r="G12" s="421"/>
      <c r="H12" s="421"/>
      <c r="I12" s="421"/>
      <c r="J12" s="421"/>
    </row>
    <row r="13" spans="1:10" s="1" customFormat="1" ht="12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0" s="1" customFormat="1" ht="21.75" customHeight="1">
      <c r="A14" s="421" t="s">
        <v>456</v>
      </c>
      <c r="B14" s="421"/>
      <c r="C14" s="421"/>
      <c r="D14" s="421"/>
      <c r="E14" s="421"/>
      <c r="F14" s="421"/>
      <c r="G14" s="421"/>
      <c r="H14" s="421"/>
      <c r="I14" s="421"/>
      <c r="J14" s="421"/>
    </row>
    <row r="15" spans="1:10" s="1" customFormat="1" ht="12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spans="1:10" s="1" customFormat="1" ht="12" customHeight="1">
      <c r="A16" s="422"/>
      <c r="B16" s="422"/>
      <c r="C16" s="422"/>
      <c r="D16" s="422"/>
      <c r="E16" s="422"/>
      <c r="F16" s="422"/>
      <c r="G16" s="422"/>
      <c r="H16" s="422"/>
      <c r="I16" s="422"/>
      <c r="J16" s="422"/>
    </row>
    <row r="17" spans="1:10" s="1" customFormat="1" ht="12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spans="1:10" s="1" customFormat="1" ht="12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spans="1:10" s="1" customFormat="1" ht="12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s="1" customFormat="1" ht="12" customHeight="1"/>
    <row r="21" s="1" customFormat="1" ht="12" customHeight="1"/>
    <row r="22" s="1" customFormat="1" ht="12" customHeight="1"/>
    <row r="23" s="1" customFormat="1" ht="12" customHeight="1"/>
    <row r="24" s="1" customFormat="1" ht="12" customHeight="1"/>
    <row r="25" s="1" customFormat="1" ht="12" customHeight="1"/>
    <row r="26" s="1" customFormat="1" ht="12" customHeight="1"/>
    <row r="27" s="1" customFormat="1" ht="12" customHeight="1"/>
    <row r="28" s="1" customFormat="1" ht="12" customHeight="1"/>
    <row r="29" s="1" customFormat="1" ht="12" customHeight="1"/>
    <row r="30" s="1" customFormat="1" ht="12" customHeight="1"/>
    <row r="31" s="1" customFormat="1" ht="12" customHeight="1"/>
    <row r="32" s="1" customFormat="1" ht="12" customHeight="1"/>
    <row r="33" s="1" customFormat="1" ht="12" customHeight="1"/>
    <row r="34" s="1" customFormat="1" ht="12" customHeight="1"/>
    <row r="35" s="1" customFormat="1" ht="12" customHeight="1"/>
    <row r="36" s="1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24" customHeight="1">
      <c r="B40" s="5"/>
    </row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 customHeight="1"/>
    <row r="47" s="1" customFormat="1" ht="12" customHeight="1"/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5" customHeight="1"/>
    <row r="53" s="1" customFormat="1" ht="22.5" customHeight="1"/>
    <row r="54" s="1" customFormat="1" ht="12.75" customHeight="1"/>
    <row r="55" ht="16.5" customHeight="1"/>
    <row r="56" ht="16.5" customHeight="1"/>
    <row r="57" ht="37.5" customHeight="1"/>
    <row r="58" s="4" customFormat="1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5" customHeight="1"/>
    <row r="89" s="1" customFormat="1" ht="12.75" customHeight="1"/>
  </sheetData>
  <sheetProtection/>
  <mergeCells count="3">
    <mergeCell ref="A12:J12"/>
    <mergeCell ref="A14:J14"/>
    <mergeCell ref="A16:J16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
</oddHead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Y26"/>
  <sheetViews>
    <sheetView zoomScalePageLayoutView="0" workbookViewId="0" topLeftCell="C13">
      <selection activeCell="S19" sqref="S19"/>
    </sheetView>
  </sheetViews>
  <sheetFormatPr defaultColWidth="9.00390625" defaultRowHeight="12.75"/>
  <cols>
    <col min="1" max="1" width="34.125" style="0" customWidth="1"/>
    <col min="2" max="4" width="6.625" style="0" bestFit="1" customWidth="1"/>
    <col min="5" max="5" width="5.125" style="0" customWidth="1"/>
    <col min="6" max="6" width="6.125" style="0" customWidth="1"/>
    <col min="7" max="7" width="5.125" style="0" bestFit="1" customWidth="1"/>
    <col min="8" max="8" width="4.625" style="0" customWidth="1"/>
    <col min="9" max="9" width="6.625" style="0" customWidth="1"/>
    <col min="10" max="10" width="5.125" style="0" bestFit="1" customWidth="1"/>
    <col min="11" max="11" width="5.50390625" style="0" customWidth="1"/>
    <col min="12" max="12" width="4.625" style="0" customWidth="1"/>
    <col min="13" max="13" width="5.125" style="0" bestFit="1" customWidth="1"/>
    <col min="14" max="15" width="7.00390625" style="0" bestFit="1" customWidth="1"/>
    <col min="16" max="16" width="7.50390625" style="0" bestFit="1" customWidth="1"/>
    <col min="17" max="17" width="6.125" style="0" customWidth="1"/>
    <col min="18" max="18" width="6.375" style="0" customWidth="1"/>
    <col min="19" max="19" width="5.125" style="0" bestFit="1" customWidth="1"/>
    <col min="20" max="20" width="4.125" style="0" bestFit="1" customWidth="1"/>
    <col min="21" max="21" width="5.875" style="0" customWidth="1"/>
    <col min="22" max="22" width="5.125" style="0" bestFit="1" customWidth="1"/>
    <col min="23" max="24" width="7.00390625" style="0" bestFit="1" customWidth="1"/>
    <col min="25" max="25" width="8.875" style="0" bestFit="1" customWidth="1"/>
  </cols>
  <sheetData>
    <row r="1" spans="1:25" ht="14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511" t="s">
        <v>475</v>
      </c>
      <c r="U1" s="511"/>
      <c r="V1" s="511"/>
      <c r="W1" s="511"/>
      <c r="X1" s="511"/>
      <c r="Y1" s="511"/>
    </row>
    <row r="2" spans="1:25" ht="16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64"/>
      <c r="U2" s="64"/>
      <c r="V2" s="64"/>
      <c r="W2" s="64"/>
      <c r="X2" s="64"/>
      <c r="Y2" s="64"/>
    </row>
    <row r="3" spans="1:25" ht="16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64"/>
      <c r="U3" s="64"/>
      <c r="V3" s="64"/>
      <c r="W3" s="64"/>
      <c r="X3" s="64"/>
      <c r="Y3" s="64"/>
    </row>
    <row r="4" spans="1:25" ht="16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64"/>
      <c r="U4" s="64"/>
      <c r="V4" s="64"/>
      <c r="W4" s="64"/>
      <c r="X4" s="64"/>
      <c r="Y4" s="64"/>
    </row>
    <row r="5" spans="1:25" ht="15.75">
      <c r="A5" s="435" t="s">
        <v>116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</row>
    <row r="6" spans="1:25" ht="15.75">
      <c r="A6" s="436" t="str">
        <f>'kommunikációs   6-b'!A5:M5</f>
        <v>2012. évi zárása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</row>
    <row r="7" spans="1:23" ht="12.7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64"/>
      <c r="R7" s="64"/>
      <c r="S7" s="64"/>
      <c r="T7" s="70"/>
      <c r="U7" s="70"/>
      <c r="V7" s="70"/>
      <c r="W7" s="70"/>
    </row>
    <row r="8" spans="1:25" ht="15.75">
      <c r="A8" s="435" t="s">
        <v>395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</row>
    <row r="9" spans="1:25" ht="15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5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5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Y11" s="64" t="s">
        <v>269</v>
      </c>
    </row>
    <row r="12" spans="1:25" ht="12.75">
      <c r="A12" s="396"/>
      <c r="B12" s="540" t="s">
        <v>145</v>
      </c>
      <c r="C12" s="541"/>
      <c r="D12" s="542"/>
      <c r="E12" s="540" t="s">
        <v>177</v>
      </c>
      <c r="F12" s="541"/>
      <c r="G12" s="542"/>
      <c r="H12" s="540" t="s">
        <v>170</v>
      </c>
      <c r="I12" s="541"/>
      <c r="J12" s="542"/>
      <c r="K12" s="540" t="s">
        <v>74</v>
      </c>
      <c r="L12" s="541"/>
      <c r="M12" s="542"/>
      <c r="N12" s="540" t="s">
        <v>146</v>
      </c>
      <c r="O12" s="541"/>
      <c r="P12" s="542"/>
      <c r="Q12" s="540" t="s">
        <v>258</v>
      </c>
      <c r="R12" s="552"/>
      <c r="S12" s="553"/>
      <c r="T12" s="548" t="s">
        <v>147</v>
      </c>
      <c r="U12" s="549"/>
      <c r="V12" s="542"/>
      <c r="W12" s="540" t="s">
        <v>74</v>
      </c>
      <c r="X12" s="541"/>
      <c r="Y12" s="542"/>
    </row>
    <row r="13" spans="1:25" ht="12.75">
      <c r="A13" s="397" t="s">
        <v>20</v>
      </c>
      <c r="B13" s="543" t="s">
        <v>148</v>
      </c>
      <c r="C13" s="544"/>
      <c r="D13" s="545"/>
      <c r="E13" s="543"/>
      <c r="F13" s="544"/>
      <c r="G13" s="545"/>
      <c r="H13" s="543" t="s">
        <v>171</v>
      </c>
      <c r="I13" s="544"/>
      <c r="J13" s="545"/>
      <c r="K13" s="543" t="s">
        <v>173</v>
      </c>
      <c r="L13" s="544"/>
      <c r="M13" s="545"/>
      <c r="N13" s="543" t="s">
        <v>143</v>
      </c>
      <c r="O13" s="544"/>
      <c r="P13" s="545"/>
      <c r="Q13" s="543" t="s">
        <v>340</v>
      </c>
      <c r="R13" s="544"/>
      <c r="S13" s="545"/>
      <c r="T13" s="546" t="s">
        <v>123</v>
      </c>
      <c r="U13" s="544"/>
      <c r="V13" s="547"/>
      <c r="W13" s="543" t="s">
        <v>149</v>
      </c>
      <c r="X13" s="544"/>
      <c r="Y13" s="545"/>
    </row>
    <row r="14" spans="1:25" ht="12.75">
      <c r="A14" s="167"/>
      <c r="B14" s="537" t="s">
        <v>150</v>
      </c>
      <c r="C14" s="538"/>
      <c r="D14" s="539"/>
      <c r="E14" s="537"/>
      <c r="F14" s="538"/>
      <c r="G14" s="539"/>
      <c r="H14" s="537"/>
      <c r="I14" s="538"/>
      <c r="J14" s="539"/>
      <c r="K14" s="537" t="s">
        <v>143</v>
      </c>
      <c r="L14" s="538"/>
      <c r="M14" s="539"/>
      <c r="N14" s="537" t="s">
        <v>113</v>
      </c>
      <c r="O14" s="538"/>
      <c r="P14" s="539"/>
      <c r="Q14" s="537" t="s">
        <v>259</v>
      </c>
      <c r="R14" s="538"/>
      <c r="S14" s="539"/>
      <c r="T14" s="550" t="s">
        <v>151</v>
      </c>
      <c r="U14" s="538"/>
      <c r="V14" s="551"/>
      <c r="W14" s="537" t="s">
        <v>143</v>
      </c>
      <c r="X14" s="538"/>
      <c r="Y14" s="539"/>
    </row>
    <row r="15" spans="1:25" ht="27.75" customHeight="1">
      <c r="A15" s="24"/>
      <c r="B15" s="195" t="s">
        <v>305</v>
      </c>
      <c r="C15" s="195" t="s">
        <v>306</v>
      </c>
      <c r="D15" s="195" t="s">
        <v>308</v>
      </c>
      <c r="E15" s="195" t="s">
        <v>305</v>
      </c>
      <c r="F15" s="195" t="s">
        <v>306</v>
      </c>
      <c r="G15" s="195" t="s">
        <v>308</v>
      </c>
      <c r="H15" s="195" t="s">
        <v>305</v>
      </c>
      <c r="I15" s="195" t="s">
        <v>306</v>
      </c>
      <c r="J15" s="195" t="s">
        <v>308</v>
      </c>
      <c r="K15" s="195" t="s">
        <v>305</v>
      </c>
      <c r="L15" s="195" t="s">
        <v>306</v>
      </c>
      <c r="M15" s="195" t="s">
        <v>308</v>
      </c>
      <c r="N15" s="195" t="s">
        <v>305</v>
      </c>
      <c r="O15" s="195" t="s">
        <v>306</v>
      </c>
      <c r="P15" s="195" t="s">
        <v>308</v>
      </c>
      <c r="Q15" s="195" t="s">
        <v>305</v>
      </c>
      <c r="R15" s="195" t="s">
        <v>306</v>
      </c>
      <c r="S15" s="195" t="s">
        <v>308</v>
      </c>
      <c r="T15" s="195" t="s">
        <v>305</v>
      </c>
      <c r="U15" s="195" t="s">
        <v>306</v>
      </c>
      <c r="V15" s="195" t="s">
        <v>308</v>
      </c>
      <c r="W15" s="195" t="s">
        <v>305</v>
      </c>
      <c r="X15" s="195" t="s">
        <v>306</v>
      </c>
      <c r="Y15" s="195" t="s">
        <v>308</v>
      </c>
    </row>
    <row r="16" spans="1:25" s="371" customFormat="1" ht="27.75" customHeight="1">
      <c r="A16" s="383" t="s">
        <v>196</v>
      </c>
      <c r="B16" s="389">
        <v>1658</v>
      </c>
      <c r="C16" s="389">
        <v>24396</v>
      </c>
      <c r="D16" s="390">
        <v>24549</v>
      </c>
      <c r="E16" s="389"/>
      <c r="F16" s="389"/>
      <c r="G16" s="389"/>
      <c r="H16" s="389"/>
      <c r="I16" s="389"/>
      <c r="J16" s="389"/>
      <c r="K16" s="389"/>
      <c r="L16" s="389"/>
      <c r="M16" s="389"/>
      <c r="N16" s="391">
        <f>B16+E16+H16+K16</f>
        <v>1658</v>
      </c>
      <c r="O16" s="391">
        <f>C16+F16+I16+L16</f>
        <v>24396</v>
      </c>
      <c r="P16" s="392">
        <f>D16+G16+J16+M16</f>
        <v>24549</v>
      </c>
      <c r="Q16" s="389"/>
      <c r="R16" s="389"/>
      <c r="S16" s="389"/>
      <c r="T16" s="389"/>
      <c r="U16" s="393"/>
      <c r="V16" s="393"/>
      <c r="W16" s="197">
        <f>N16+Q16+T16</f>
        <v>1658</v>
      </c>
      <c r="X16" s="197">
        <f>O16+R16+U16</f>
        <v>24396</v>
      </c>
      <c r="Y16" s="394">
        <f>P16+S16+V16</f>
        <v>24549</v>
      </c>
    </row>
    <row r="17" spans="1:25" s="371" customFormat="1" ht="27.75" customHeight="1">
      <c r="A17" s="383" t="s">
        <v>197</v>
      </c>
      <c r="B17" s="181"/>
      <c r="C17" s="181"/>
      <c r="D17" s="390"/>
      <c r="E17" s="99"/>
      <c r="F17" s="99"/>
      <c r="G17" s="99"/>
      <c r="H17" s="99"/>
      <c r="I17" s="389"/>
      <c r="J17" s="389"/>
      <c r="K17" s="389"/>
      <c r="L17" s="389"/>
      <c r="M17" s="389"/>
      <c r="N17" s="391">
        <f aca="true" t="shared" si="0" ref="N17:N25">B17+E17+H17+K17</f>
        <v>0</v>
      </c>
      <c r="O17" s="391">
        <f aca="true" t="shared" si="1" ref="O17:O25">C17+F17+I17+L17</f>
        <v>0</v>
      </c>
      <c r="P17" s="392">
        <f aca="true" t="shared" si="2" ref="P17:P25">D17+G17+J17+M17</f>
        <v>0</v>
      </c>
      <c r="Q17" s="99"/>
      <c r="R17" s="99"/>
      <c r="S17" s="99"/>
      <c r="T17" s="181"/>
      <c r="U17" s="395"/>
      <c r="V17" s="395"/>
      <c r="W17" s="197">
        <f aca="true" t="shared" si="3" ref="W17:W25">N17+Q17+T17</f>
        <v>0</v>
      </c>
      <c r="X17" s="197">
        <f aca="true" t="shared" si="4" ref="X17:X25">O17+R17+U17</f>
        <v>0</v>
      </c>
      <c r="Y17" s="394">
        <f aca="true" t="shared" si="5" ref="Y17:Y25">P17+S17+V17</f>
        <v>0</v>
      </c>
    </row>
    <row r="18" spans="1:25" s="371" customFormat="1" ht="27.75" customHeight="1">
      <c r="A18" s="383" t="s">
        <v>198</v>
      </c>
      <c r="B18" s="99">
        <v>2185</v>
      </c>
      <c r="C18" s="99">
        <f>2426-8</f>
        <v>2418</v>
      </c>
      <c r="D18" s="390">
        <v>895</v>
      </c>
      <c r="E18" s="99">
        <v>0</v>
      </c>
      <c r="F18" s="99">
        <v>20</v>
      </c>
      <c r="G18" s="99">
        <v>10</v>
      </c>
      <c r="H18" s="99"/>
      <c r="I18" s="389"/>
      <c r="J18" s="389"/>
      <c r="K18" s="389"/>
      <c r="L18" s="389">
        <v>40</v>
      </c>
      <c r="M18" s="389">
        <v>20</v>
      </c>
      <c r="N18" s="391">
        <f t="shared" si="0"/>
        <v>2185</v>
      </c>
      <c r="O18" s="391">
        <f t="shared" si="1"/>
        <v>2478</v>
      </c>
      <c r="P18" s="392">
        <f t="shared" si="2"/>
        <v>925</v>
      </c>
      <c r="Q18" s="99">
        <f>47+37</f>
        <v>84</v>
      </c>
      <c r="R18" s="99">
        <f>44+5</f>
        <v>49</v>
      </c>
      <c r="S18" s="99">
        <v>49</v>
      </c>
      <c r="T18" s="99">
        <v>546</v>
      </c>
      <c r="U18" s="393">
        <v>546</v>
      </c>
      <c r="V18" s="393">
        <v>319</v>
      </c>
      <c r="W18" s="197">
        <f t="shared" si="3"/>
        <v>2815</v>
      </c>
      <c r="X18" s="197">
        <f t="shared" si="4"/>
        <v>3073</v>
      </c>
      <c r="Y18" s="394">
        <f t="shared" si="5"/>
        <v>1293</v>
      </c>
    </row>
    <row r="19" spans="1:25" s="371" customFormat="1" ht="27.75" customHeight="1">
      <c r="A19" s="383" t="s">
        <v>199</v>
      </c>
      <c r="B19" s="99">
        <v>354</v>
      </c>
      <c r="C19" s="99">
        <v>354</v>
      </c>
      <c r="D19" s="390">
        <v>321</v>
      </c>
      <c r="E19" s="99"/>
      <c r="F19" s="99"/>
      <c r="G19" s="99"/>
      <c r="H19" s="99"/>
      <c r="I19" s="389"/>
      <c r="J19" s="389"/>
      <c r="K19" s="389"/>
      <c r="L19" s="389"/>
      <c r="M19" s="389"/>
      <c r="N19" s="391">
        <f t="shared" si="0"/>
        <v>354</v>
      </c>
      <c r="O19" s="391">
        <f t="shared" si="1"/>
        <v>354</v>
      </c>
      <c r="P19" s="392">
        <f t="shared" si="2"/>
        <v>321</v>
      </c>
      <c r="Q19" s="99"/>
      <c r="R19" s="99"/>
      <c r="S19" s="99"/>
      <c r="T19" s="99"/>
      <c r="U19" s="393"/>
      <c r="V19" s="393"/>
      <c r="W19" s="197">
        <f t="shared" si="3"/>
        <v>354</v>
      </c>
      <c r="X19" s="197">
        <f t="shared" si="4"/>
        <v>354</v>
      </c>
      <c r="Y19" s="394">
        <f t="shared" si="5"/>
        <v>321</v>
      </c>
    </row>
    <row r="20" spans="1:25" s="371" customFormat="1" ht="27.75" customHeight="1">
      <c r="A20" s="383" t="s">
        <v>204</v>
      </c>
      <c r="B20" s="99"/>
      <c r="C20" s="99"/>
      <c r="D20" s="390">
        <f>('kÉSZLETBESZ. 6-a'!AE18+'kommunikációs   6-b'!M17+'sZOLGÁLTATÁS 6-c'!AN27)*27%</f>
        <v>0</v>
      </c>
      <c r="E20" s="99"/>
      <c r="F20" s="99"/>
      <c r="G20" s="99"/>
      <c r="H20" s="99"/>
      <c r="I20" s="389"/>
      <c r="J20" s="389"/>
      <c r="K20" s="389"/>
      <c r="L20" s="389"/>
      <c r="M20" s="389"/>
      <c r="N20" s="391">
        <f t="shared" si="0"/>
        <v>0</v>
      </c>
      <c r="O20" s="391">
        <f t="shared" si="1"/>
        <v>0</v>
      </c>
      <c r="P20" s="392">
        <f t="shared" si="2"/>
        <v>0</v>
      </c>
      <c r="Q20" s="99"/>
      <c r="R20" s="99"/>
      <c r="S20" s="99"/>
      <c r="T20" s="99">
        <v>10</v>
      </c>
      <c r="U20" s="393">
        <v>10</v>
      </c>
      <c r="V20" s="393"/>
      <c r="W20" s="197">
        <v>10</v>
      </c>
      <c r="X20" s="197">
        <f t="shared" si="4"/>
        <v>10</v>
      </c>
      <c r="Y20" s="394">
        <f t="shared" si="5"/>
        <v>0</v>
      </c>
    </row>
    <row r="21" spans="1:25" s="371" customFormat="1" ht="27.75" customHeight="1">
      <c r="A21" s="383" t="s">
        <v>200</v>
      </c>
      <c r="B21" s="99">
        <v>143</v>
      </c>
      <c r="C21" s="99">
        <v>151</v>
      </c>
      <c r="D21" s="390">
        <v>151</v>
      </c>
      <c r="E21" s="99"/>
      <c r="F21" s="99"/>
      <c r="G21" s="99"/>
      <c r="H21" s="99"/>
      <c r="I21" s="389"/>
      <c r="J21" s="389"/>
      <c r="K21" s="389"/>
      <c r="L21" s="389"/>
      <c r="M21" s="389"/>
      <c r="N21" s="391">
        <f t="shared" si="0"/>
        <v>143</v>
      </c>
      <c r="O21" s="391">
        <f t="shared" si="1"/>
        <v>151</v>
      </c>
      <c r="P21" s="392">
        <f t="shared" si="2"/>
        <v>151</v>
      </c>
      <c r="Q21" s="99"/>
      <c r="R21" s="99"/>
      <c r="S21" s="99"/>
      <c r="T21" s="99"/>
      <c r="U21" s="393"/>
      <c r="V21" s="393"/>
      <c r="W21" s="197">
        <f t="shared" si="3"/>
        <v>143</v>
      </c>
      <c r="X21" s="197">
        <f t="shared" si="4"/>
        <v>151</v>
      </c>
      <c r="Y21" s="394">
        <f t="shared" si="5"/>
        <v>151</v>
      </c>
    </row>
    <row r="22" spans="1:25" s="371" customFormat="1" ht="27.75" customHeight="1">
      <c r="A22" s="383" t="s">
        <v>201</v>
      </c>
      <c r="B22" s="99">
        <v>35</v>
      </c>
      <c r="C22" s="99"/>
      <c r="D22" s="390"/>
      <c r="E22" s="99"/>
      <c r="F22" s="99"/>
      <c r="G22" s="99"/>
      <c r="H22" s="99"/>
      <c r="I22" s="389"/>
      <c r="J22" s="389"/>
      <c r="K22" s="389"/>
      <c r="L22" s="389"/>
      <c r="M22" s="389"/>
      <c r="N22" s="391">
        <f t="shared" si="0"/>
        <v>35</v>
      </c>
      <c r="O22" s="391">
        <f t="shared" si="1"/>
        <v>0</v>
      </c>
      <c r="P22" s="392">
        <f t="shared" si="2"/>
        <v>0</v>
      </c>
      <c r="Q22" s="99"/>
      <c r="R22" s="99"/>
      <c r="S22" s="99"/>
      <c r="T22" s="99"/>
      <c r="U22" s="393"/>
      <c r="V22" s="393"/>
      <c r="W22" s="197">
        <f t="shared" si="3"/>
        <v>35</v>
      </c>
      <c r="X22" s="197">
        <f t="shared" si="4"/>
        <v>0</v>
      </c>
      <c r="Y22" s="394">
        <f t="shared" si="5"/>
        <v>0</v>
      </c>
    </row>
    <row r="23" spans="1:25" s="371" customFormat="1" ht="27.75" customHeight="1">
      <c r="A23" s="383" t="s">
        <v>206</v>
      </c>
      <c r="B23" s="99">
        <v>35</v>
      </c>
      <c r="C23" s="99">
        <v>70</v>
      </c>
      <c r="D23" s="390">
        <v>19</v>
      </c>
      <c r="E23" s="99"/>
      <c r="F23" s="99"/>
      <c r="G23" s="99"/>
      <c r="H23" s="99"/>
      <c r="I23" s="389"/>
      <c r="J23" s="389"/>
      <c r="K23" s="389"/>
      <c r="L23" s="389"/>
      <c r="M23" s="389"/>
      <c r="N23" s="391">
        <f t="shared" si="0"/>
        <v>35</v>
      </c>
      <c r="O23" s="391">
        <f t="shared" si="1"/>
        <v>70</v>
      </c>
      <c r="P23" s="392">
        <f t="shared" si="2"/>
        <v>19</v>
      </c>
      <c r="Q23" s="99"/>
      <c r="R23" s="99"/>
      <c r="S23" s="99"/>
      <c r="T23" s="99"/>
      <c r="U23" s="393"/>
      <c r="V23" s="393"/>
      <c r="W23" s="197">
        <f t="shared" si="3"/>
        <v>35</v>
      </c>
      <c r="X23" s="197">
        <f t="shared" si="4"/>
        <v>70</v>
      </c>
      <c r="Y23" s="394">
        <f t="shared" si="5"/>
        <v>19</v>
      </c>
    </row>
    <row r="24" spans="1:25" ht="27.75" customHeight="1">
      <c r="A24" s="14" t="s">
        <v>202</v>
      </c>
      <c r="B24" s="24">
        <v>779</v>
      </c>
      <c r="C24" s="24">
        <v>779</v>
      </c>
      <c r="D24" s="191">
        <v>351</v>
      </c>
      <c r="E24" s="24"/>
      <c r="F24" s="24"/>
      <c r="G24" s="24"/>
      <c r="H24" s="24"/>
      <c r="I24" s="27"/>
      <c r="J24" s="27"/>
      <c r="K24" s="27"/>
      <c r="L24" s="27"/>
      <c r="M24" s="27"/>
      <c r="N24" s="167">
        <f t="shared" si="0"/>
        <v>779</v>
      </c>
      <c r="O24" s="167">
        <f t="shared" si="1"/>
        <v>779</v>
      </c>
      <c r="P24" s="196">
        <f t="shared" si="2"/>
        <v>351</v>
      </c>
      <c r="Q24" s="24"/>
      <c r="R24" s="24"/>
      <c r="S24" s="24"/>
      <c r="T24" s="24"/>
      <c r="U24" s="114"/>
      <c r="V24" s="114"/>
      <c r="W24" s="199">
        <f t="shared" si="3"/>
        <v>779</v>
      </c>
      <c r="X24" s="199">
        <f t="shared" si="4"/>
        <v>779</v>
      </c>
      <c r="Y24" s="198">
        <f t="shared" si="5"/>
        <v>351</v>
      </c>
    </row>
    <row r="25" spans="1:25" ht="27.75" customHeight="1">
      <c r="A25" s="14" t="s">
        <v>203</v>
      </c>
      <c r="B25" s="24">
        <v>47</v>
      </c>
      <c r="C25" s="24">
        <v>47</v>
      </c>
      <c r="D25" s="191">
        <v>17</v>
      </c>
      <c r="E25" s="24"/>
      <c r="F25" s="24"/>
      <c r="G25" s="24"/>
      <c r="H25" s="24"/>
      <c r="I25" s="27"/>
      <c r="J25" s="27"/>
      <c r="K25" s="27"/>
      <c r="L25" s="27"/>
      <c r="M25" s="27"/>
      <c r="N25" s="167">
        <f t="shared" si="0"/>
        <v>47</v>
      </c>
      <c r="O25" s="167">
        <f t="shared" si="1"/>
        <v>47</v>
      </c>
      <c r="P25" s="196">
        <f t="shared" si="2"/>
        <v>17</v>
      </c>
      <c r="Q25" s="24"/>
      <c r="R25" s="24"/>
      <c r="S25" s="24"/>
      <c r="T25" s="24"/>
      <c r="U25" s="114"/>
      <c r="V25" s="114"/>
      <c r="W25" s="199">
        <f t="shared" si="3"/>
        <v>47</v>
      </c>
      <c r="X25" s="199">
        <f t="shared" si="4"/>
        <v>47</v>
      </c>
      <c r="Y25" s="198">
        <f t="shared" si="5"/>
        <v>17</v>
      </c>
    </row>
    <row r="26" spans="1:25" ht="27.75" customHeight="1" thickBot="1">
      <c r="A26" s="261" t="s">
        <v>78</v>
      </c>
      <c r="B26" s="262">
        <f aca="true" t="shared" si="6" ref="B26:Y26">SUM(B16:B25)</f>
        <v>5236</v>
      </c>
      <c r="C26" s="262">
        <f t="shared" si="6"/>
        <v>28215</v>
      </c>
      <c r="D26" s="262">
        <f t="shared" si="6"/>
        <v>26303</v>
      </c>
      <c r="E26" s="262">
        <f t="shared" si="6"/>
        <v>0</v>
      </c>
      <c r="F26" s="262">
        <f t="shared" si="6"/>
        <v>20</v>
      </c>
      <c r="G26" s="262">
        <f t="shared" si="6"/>
        <v>10</v>
      </c>
      <c r="H26" s="262">
        <f t="shared" si="6"/>
        <v>0</v>
      </c>
      <c r="I26" s="262">
        <f t="shared" si="6"/>
        <v>0</v>
      </c>
      <c r="J26" s="262">
        <f t="shared" si="6"/>
        <v>0</v>
      </c>
      <c r="K26" s="262">
        <f t="shared" si="6"/>
        <v>0</v>
      </c>
      <c r="L26" s="262">
        <f t="shared" si="6"/>
        <v>40</v>
      </c>
      <c r="M26" s="262">
        <f t="shared" si="6"/>
        <v>20</v>
      </c>
      <c r="N26" s="262">
        <f t="shared" si="6"/>
        <v>5236</v>
      </c>
      <c r="O26" s="262">
        <f t="shared" si="6"/>
        <v>28275</v>
      </c>
      <c r="P26" s="262">
        <f t="shared" si="6"/>
        <v>26333</v>
      </c>
      <c r="Q26" s="262">
        <f t="shared" si="6"/>
        <v>84</v>
      </c>
      <c r="R26" s="262">
        <f t="shared" si="6"/>
        <v>49</v>
      </c>
      <c r="S26" s="262">
        <f t="shared" si="6"/>
        <v>49</v>
      </c>
      <c r="T26" s="262">
        <f t="shared" si="6"/>
        <v>556</v>
      </c>
      <c r="U26" s="262">
        <f t="shared" si="6"/>
        <v>556</v>
      </c>
      <c r="V26" s="262">
        <f t="shared" si="6"/>
        <v>319</v>
      </c>
      <c r="W26" s="262">
        <f t="shared" si="6"/>
        <v>5876</v>
      </c>
      <c r="X26" s="262">
        <f t="shared" si="6"/>
        <v>28880</v>
      </c>
      <c r="Y26" s="262">
        <f t="shared" si="6"/>
        <v>26701</v>
      </c>
    </row>
  </sheetData>
  <sheetProtection/>
  <mergeCells count="28">
    <mergeCell ref="W13:Y13"/>
    <mergeCell ref="W12:Y12"/>
    <mergeCell ref="K13:M13"/>
    <mergeCell ref="K14:M14"/>
    <mergeCell ref="N12:P12"/>
    <mergeCell ref="N13:P13"/>
    <mergeCell ref="N14:P14"/>
    <mergeCell ref="W14:Y14"/>
    <mergeCell ref="Q12:S12"/>
    <mergeCell ref="Q13:S13"/>
    <mergeCell ref="T12:V12"/>
    <mergeCell ref="T14:V14"/>
    <mergeCell ref="E12:G12"/>
    <mergeCell ref="E13:G13"/>
    <mergeCell ref="E14:G14"/>
    <mergeCell ref="H13:J13"/>
    <mergeCell ref="H14:J14"/>
    <mergeCell ref="H12:J12"/>
    <mergeCell ref="B14:D14"/>
    <mergeCell ref="T1:Y1"/>
    <mergeCell ref="A6:Y6"/>
    <mergeCell ref="A8:Y8"/>
    <mergeCell ref="A5:Y5"/>
    <mergeCell ref="B12:D12"/>
    <mergeCell ref="B13:D13"/>
    <mergeCell ref="K12:M12"/>
    <mergeCell ref="Q14:S14"/>
    <mergeCell ref="T13:V13"/>
  </mergeCells>
  <printOptions horizontalCentered="1"/>
  <pageMargins left="1.141732283464567" right="0.9448818897637796" top="0.1968503937007874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45"/>
  <sheetViews>
    <sheetView zoomScale="90" zoomScaleNormal="90" zoomScalePageLayoutView="0" workbookViewId="0" topLeftCell="N15">
      <selection activeCell="AT15" sqref="AT15"/>
    </sheetView>
  </sheetViews>
  <sheetFormatPr defaultColWidth="9.00390625" defaultRowHeight="12.75"/>
  <cols>
    <col min="1" max="1" width="37.50390625" style="0" customWidth="1"/>
    <col min="2" max="3" width="4.625" style="0" bestFit="1" customWidth="1"/>
    <col min="4" max="4" width="5.875" style="0" bestFit="1" customWidth="1"/>
    <col min="5" max="5" width="4.00390625" style="0" bestFit="1" customWidth="1"/>
    <col min="6" max="6" width="3.50390625" style="0" bestFit="1" customWidth="1"/>
    <col min="7" max="7" width="5.875" style="0" bestFit="1" customWidth="1"/>
    <col min="8" max="9" width="4.625" style="0" bestFit="1" customWidth="1"/>
    <col min="10" max="10" width="5.875" style="0" bestFit="1" customWidth="1"/>
    <col min="11" max="16" width="6.375" style="0" bestFit="1" customWidth="1"/>
    <col min="17" max="18" width="4.625" style="0" bestFit="1" customWidth="1"/>
    <col min="19" max="19" width="5.875" style="0" bestFit="1" customWidth="1"/>
    <col min="20" max="22" width="7.375" style="0" bestFit="1" customWidth="1"/>
    <col min="23" max="28" width="6.375" style="0" bestFit="1" customWidth="1"/>
    <col min="29" max="29" width="8.00390625" style="0" customWidth="1"/>
    <col min="30" max="30" width="8.375" style="0" customWidth="1"/>
    <col min="31" max="31" width="6.50390625" style="0" customWidth="1"/>
    <col min="32" max="34" width="6.375" style="0" bestFit="1" customWidth="1"/>
    <col min="35" max="35" width="4.00390625" style="0" bestFit="1" customWidth="1"/>
    <col min="36" max="36" width="5.375" style="0" customWidth="1"/>
    <col min="37" max="37" width="7.00390625" style="0" customWidth="1"/>
    <col min="38" max="39" width="9.625" style="0" bestFit="1" customWidth="1"/>
    <col min="40" max="40" width="8.375" style="0" bestFit="1" customWidth="1"/>
  </cols>
  <sheetData>
    <row r="1" spans="32:40" ht="16.5" customHeight="1">
      <c r="AF1" s="511" t="s">
        <v>476</v>
      </c>
      <c r="AG1" s="511"/>
      <c r="AH1" s="511"/>
      <c r="AI1" s="511"/>
      <c r="AJ1" s="511"/>
      <c r="AK1" s="511"/>
      <c r="AL1" s="511"/>
      <c r="AM1" s="511"/>
      <c r="AN1" s="511"/>
    </row>
    <row r="2" spans="32:40" ht="16.5" customHeight="1">
      <c r="AF2" s="64"/>
      <c r="AG2" s="64"/>
      <c r="AH2" s="64"/>
      <c r="AI2" s="64"/>
      <c r="AJ2" s="64"/>
      <c r="AK2" s="64"/>
      <c r="AL2" s="64"/>
      <c r="AM2" s="64"/>
      <c r="AN2" s="64"/>
    </row>
    <row r="3" spans="32:40" ht="16.5" customHeight="1">
      <c r="AF3" s="64"/>
      <c r="AG3" s="64"/>
      <c r="AH3" s="64"/>
      <c r="AI3" s="64"/>
      <c r="AJ3" s="64"/>
      <c r="AK3" s="64"/>
      <c r="AL3" s="64"/>
      <c r="AM3" s="64"/>
      <c r="AN3" s="64"/>
    </row>
    <row r="4" spans="32:40" ht="16.5" customHeight="1">
      <c r="AF4" s="64"/>
      <c r="AG4" s="64"/>
      <c r="AH4" s="64"/>
      <c r="AI4" s="64"/>
      <c r="AJ4" s="64"/>
      <c r="AK4" s="64"/>
      <c r="AL4" s="64"/>
      <c r="AM4" s="64"/>
      <c r="AN4" s="64"/>
    </row>
    <row r="5" spans="1:38" ht="20.25">
      <c r="A5" s="563" t="s">
        <v>77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563"/>
      <c r="AH5" s="563"/>
      <c r="AI5" s="563"/>
      <c r="AJ5" s="563"/>
      <c r="AK5" s="563"/>
      <c r="AL5" s="563"/>
    </row>
    <row r="6" spans="1:38" ht="20.25">
      <c r="A6" s="564" t="str">
        <f>'áfa   6-d'!A6:Y6</f>
        <v>2012. évi zárása</v>
      </c>
      <c r="B6" s="563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3"/>
      <c r="AL6" s="563"/>
    </row>
    <row r="7" spans="1:38" ht="20.25">
      <c r="A7" s="563" t="s">
        <v>130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</row>
    <row r="8" spans="1:38" ht="15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</row>
    <row r="9" spans="1:38" ht="15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</row>
    <row r="10" spans="1:38" ht="15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</row>
    <row r="11" spans="1:38" ht="15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</row>
    <row r="12" spans="1:38" ht="15.7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</row>
    <row r="13" spans="1:38" ht="15.7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</row>
    <row r="14" spans="1:38" ht="15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</row>
    <row r="15" spans="1:38" ht="15.7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</row>
    <row r="16" spans="1:38" ht="15.7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</row>
    <row r="17" spans="1:38" ht="15.7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</row>
    <row r="18" ht="12.75">
      <c r="AN18" s="104" t="s">
        <v>269</v>
      </c>
    </row>
    <row r="19" spans="1:40" s="150" customFormat="1" ht="19.5" customHeight="1">
      <c r="A19" s="560" t="s">
        <v>20</v>
      </c>
      <c r="B19" s="565" t="s">
        <v>131</v>
      </c>
      <c r="C19" s="566"/>
      <c r="D19" s="567"/>
      <c r="E19" s="571" t="s">
        <v>132</v>
      </c>
      <c r="F19" s="572"/>
      <c r="G19" s="573"/>
      <c r="H19" s="571" t="s">
        <v>133</v>
      </c>
      <c r="I19" s="572"/>
      <c r="J19" s="573"/>
      <c r="K19" s="571" t="s">
        <v>134</v>
      </c>
      <c r="L19" s="572"/>
      <c r="M19" s="573"/>
      <c r="N19" s="571" t="s">
        <v>135</v>
      </c>
      <c r="O19" s="572"/>
      <c r="P19" s="573"/>
      <c r="Q19" s="571" t="s">
        <v>136</v>
      </c>
      <c r="R19" s="572"/>
      <c r="S19" s="573"/>
      <c r="T19" s="571" t="s">
        <v>384</v>
      </c>
      <c r="U19" s="572"/>
      <c r="V19" s="572"/>
      <c r="W19" s="571" t="s">
        <v>137</v>
      </c>
      <c r="X19" s="572"/>
      <c r="Y19" s="573"/>
      <c r="Z19" s="571" t="s">
        <v>74</v>
      </c>
      <c r="AA19" s="572"/>
      <c r="AB19" s="573"/>
      <c r="AC19" s="571" t="s">
        <v>341</v>
      </c>
      <c r="AD19" s="572"/>
      <c r="AE19" s="573"/>
      <c r="AF19" s="571" t="s">
        <v>342</v>
      </c>
      <c r="AG19" s="572"/>
      <c r="AH19" s="573"/>
      <c r="AI19" s="415" t="s">
        <v>131</v>
      </c>
      <c r="AJ19" s="416"/>
      <c r="AK19" s="407"/>
      <c r="AL19" s="580" t="s">
        <v>138</v>
      </c>
      <c r="AM19" s="581"/>
      <c r="AN19" s="582"/>
    </row>
    <row r="20" spans="1:40" s="150" customFormat="1" ht="19.5" customHeight="1">
      <c r="A20" s="561"/>
      <c r="B20" s="568" t="s">
        <v>139</v>
      </c>
      <c r="C20" s="569"/>
      <c r="D20" s="570"/>
      <c r="E20" s="568" t="s">
        <v>123</v>
      </c>
      <c r="F20" s="569"/>
      <c r="G20" s="570"/>
      <c r="H20" s="577" t="s">
        <v>89</v>
      </c>
      <c r="I20" s="578"/>
      <c r="J20" s="579"/>
      <c r="K20" s="554" t="s">
        <v>89</v>
      </c>
      <c r="L20" s="555"/>
      <c r="M20" s="556"/>
      <c r="N20" s="554" t="s">
        <v>140</v>
      </c>
      <c r="O20" s="555"/>
      <c r="P20" s="556"/>
      <c r="Q20" s="554" t="s">
        <v>181</v>
      </c>
      <c r="R20" s="555"/>
      <c r="S20" s="556"/>
      <c r="T20" s="554" t="s">
        <v>385</v>
      </c>
      <c r="U20" s="555"/>
      <c r="V20" s="556"/>
      <c r="W20" s="554" t="s">
        <v>141</v>
      </c>
      <c r="X20" s="555"/>
      <c r="Y20" s="556"/>
      <c r="Z20" s="554" t="s">
        <v>142</v>
      </c>
      <c r="AA20" s="555"/>
      <c r="AB20" s="556"/>
      <c r="AC20" s="554" t="s">
        <v>89</v>
      </c>
      <c r="AD20" s="555"/>
      <c r="AE20" s="556"/>
      <c r="AF20" s="554" t="s">
        <v>89</v>
      </c>
      <c r="AG20" s="555"/>
      <c r="AH20" s="556"/>
      <c r="AI20" s="534" t="s">
        <v>343</v>
      </c>
      <c r="AJ20" s="535"/>
      <c r="AK20" s="536"/>
      <c r="AL20" s="583" t="s">
        <v>143</v>
      </c>
      <c r="AM20" s="584"/>
      <c r="AN20" s="585"/>
    </row>
    <row r="21" spans="1:40" s="150" customFormat="1" ht="19.5" customHeight="1">
      <c r="A21" s="562"/>
      <c r="B21" s="574"/>
      <c r="C21" s="575"/>
      <c r="D21" s="576"/>
      <c r="E21" s="574"/>
      <c r="F21" s="575"/>
      <c r="G21" s="576"/>
      <c r="H21" s="557"/>
      <c r="I21" s="558"/>
      <c r="J21" s="559"/>
      <c r="K21" s="557" t="s">
        <v>110</v>
      </c>
      <c r="L21" s="558"/>
      <c r="M21" s="559"/>
      <c r="N21" s="557"/>
      <c r="O21" s="558"/>
      <c r="P21" s="559"/>
      <c r="Q21" s="557" t="s">
        <v>123</v>
      </c>
      <c r="R21" s="558"/>
      <c r="S21" s="559"/>
      <c r="T21" s="557"/>
      <c r="U21" s="558"/>
      <c r="V21" s="559"/>
      <c r="W21" s="557"/>
      <c r="X21" s="558"/>
      <c r="Y21" s="559"/>
      <c r="Z21" s="557" t="s">
        <v>89</v>
      </c>
      <c r="AA21" s="558"/>
      <c r="AB21" s="559"/>
      <c r="AC21" s="557" t="s">
        <v>144</v>
      </c>
      <c r="AD21" s="558"/>
      <c r="AE21" s="559"/>
      <c r="AF21" s="557"/>
      <c r="AG21" s="558"/>
      <c r="AH21" s="559"/>
      <c r="AI21" s="419"/>
      <c r="AJ21" s="420"/>
      <c r="AK21" s="417"/>
      <c r="AL21" s="586" t="s">
        <v>113</v>
      </c>
      <c r="AM21" s="587"/>
      <c r="AN21" s="588"/>
    </row>
    <row r="22" spans="1:40" ht="19.5" customHeight="1">
      <c r="A22" s="109"/>
      <c r="B22" s="115" t="s">
        <v>305</v>
      </c>
      <c r="C22" s="115" t="s">
        <v>306</v>
      </c>
      <c r="D22" s="115" t="s">
        <v>308</v>
      </c>
      <c r="E22" s="115" t="s">
        <v>305</v>
      </c>
      <c r="F22" s="115" t="s">
        <v>306</v>
      </c>
      <c r="G22" s="115" t="s">
        <v>308</v>
      </c>
      <c r="H22" s="115" t="s">
        <v>305</v>
      </c>
      <c r="I22" s="115" t="s">
        <v>306</v>
      </c>
      <c r="J22" s="115" t="s">
        <v>308</v>
      </c>
      <c r="K22" s="115" t="s">
        <v>305</v>
      </c>
      <c r="L22" s="115" t="s">
        <v>306</v>
      </c>
      <c r="M22" s="115" t="s">
        <v>308</v>
      </c>
      <c r="N22" s="115" t="s">
        <v>305</v>
      </c>
      <c r="O22" s="115" t="s">
        <v>306</v>
      </c>
      <c r="P22" s="115" t="s">
        <v>308</v>
      </c>
      <c r="Q22" s="115" t="s">
        <v>305</v>
      </c>
      <c r="R22" s="115" t="s">
        <v>306</v>
      </c>
      <c r="S22" s="115" t="s">
        <v>308</v>
      </c>
      <c r="T22" s="115" t="s">
        <v>305</v>
      </c>
      <c r="U22" s="115" t="s">
        <v>306</v>
      </c>
      <c r="V22" s="115" t="s">
        <v>308</v>
      </c>
      <c r="W22" s="115" t="s">
        <v>305</v>
      </c>
      <c r="X22" s="115" t="s">
        <v>306</v>
      </c>
      <c r="Y22" s="115" t="s">
        <v>308</v>
      </c>
      <c r="Z22" s="115" t="s">
        <v>305</v>
      </c>
      <c r="AA22" s="115" t="s">
        <v>306</v>
      </c>
      <c r="AB22" s="115" t="s">
        <v>308</v>
      </c>
      <c r="AC22" s="115" t="s">
        <v>305</v>
      </c>
      <c r="AD22" s="115" t="s">
        <v>306</v>
      </c>
      <c r="AE22" s="115" t="s">
        <v>308</v>
      </c>
      <c r="AF22" s="115" t="s">
        <v>305</v>
      </c>
      <c r="AG22" s="115" t="s">
        <v>306</v>
      </c>
      <c r="AH22" s="115" t="s">
        <v>308</v>
      </c>
      <c r="AI22" s="115" t="s">
        <v>305</v>
      </c>
      <c r="AJ22" s="115" t="s">
        <v>306</v>
      </c>
      <c r="AK22" s="115" t="s">
        <v>308</v>
      </c>
      <c r="AL22" s="115" t="s">
        <v>305</v>
      </c>
      <c r="AM22" s="115" t="s">
        <v>306</v>
      </c>
      <c r="AN22" s="115" t="s">
        <v>308</v>
      </c>
    </row>
    <row r="23" spans="1:40" s="371" customFormat="1" ht="27.75" customHeight="1">
      <c r="A23" s="383" t="s">
        <v>328</v>
      </c>
      <c r="B23" s="386"/>
      <c r="C23" s="386"/>
      <c r="D23" s="386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>
        <v>6142</v>
      </c>
      <c r="U23" s="110">
        <v>91235</v>
      </c>
      <c r="V23" s="110">
        <f>91690-473</f>
        <v>91217</v>
      </c>
      <c r="W23" s="110"/>
      <c r="X23" s="110"/>
      <c r="Y23" s="110"/>
      <c r="Z23" s="398"/>
      <c r="AA23" s="110"/>
      <c r="AB23" s="110">
        <v>473</v>
      </c>
      <c r="AC23" s="110"/>
      <c r="AD23" s="110"/>
      <c r="AE23" s="110"/>
      <c r="AF23" s="110"/>
      <c r="AG23" s="110"/>
      <c r="AH23" s="110"/>
      <c r="AI23" s="110"/>
      <c r="AJ23" s="110"/>
      <c r="AK23" s="110"/>
      <c r="AL23" s="399">
        <f>B23+E23+H23+K23+N23+Q23+T23+W23+Z23+AC23+AF23+AI23</f>
        <v>6142</v>
      </c>
      <c r="AM23" s="399">
        <f aca="true" t="shared" si="0" ref="AM23:AM28">C23+F23+I23+L23+O23+R23+U23+X23+AA23+AD23+AG23+AJ23</f>
        <v>91235</v>
      </c>
      <c r="AN23" s="399">
        <f>D23+G23+J23+M23+P23+S23+V23+Y23+AB23+AE23+AH23+AK23</f>
        <v>91690</v>
      </c>
    </row>
    <row r="24" spans="1:40" s="371" customFormat="1" ht="27.75" customHeight="1">
      <c r="A24" s="383" t="s">
        <v>323</v>
      </c>
      <c r="B24" s="386"/>
      <c r="C24" s="386"/>
      <c r="D24" s="386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399">
        <f aca="true" t="shared" si="1" ref="AL24:AM34">B24+E24+H24+K24+N24+Q24+T24+W24+Z24+AC24+AF24+AI24</f>
        <v>0</v>
      </c>
      <c r="AM24" s="399">
        <f t="shared" si="0"/>
        <v>0</v>
      </c>
      <c r="AN24" s="399">
        <f aca="true" t="shared" si="2" ref="AN24:AN32">D24+G24+J24+M24+P24+S24+V24+Y24+AB24+AE24+AH24+AK24</f>
        <v>0</v>
      </c>
    </row>
    <row r="25" spans="1:40" s="371" customFormat="1" ht="27.75" customHeight="1">
      <c r="A25" s="383" t="s">
        <v>198</v>
      </c>
      <c r="B25" s="386">
        <v>400</v>
      </c>
      <c r="C25" s="386">
        <v>450</v>
      </c>
      <c r="D25" s="386">
        <v>344</v>
      </c>
      <c r="E25" s="110">
        <v>0</v>
      </c>
      <c r="F25" s="110">
        <v>21</v>
      </c>
      <c r="G25" s="110">
        <v>21</v>
      </c>
      <c r="H25" s="110">
        <v>115</v>
      </c>
      <c r="I25" s="110">
        <v>115</v>
      </c>
      <c r="J25" s="110">
        <v>24</v>
      </c>
      <c r="K25" s="110">
        <v>500</v>
      </c>
      <c r="L25" s="110">
        <v>500</v>
      </c>
      <c r="M25" s="110">
        <v>170</v>
      </c>
      <c r="N25" s="110">
        <v>350</v>
      </c>
      <c r="O25" s="110">
        <v>350</v>
      </c>
      <c r="P25" s="110">
        <v>-313</v>
      </c>
      <c r="Q25" s="110">
        <v>120</v>
      </c>
      <c r="R25" s="110">
        <v>120</v>
      </c>
      <c r="S25" s="110">
        <v>43</v>
      </c>
      <c r="T25" s="110"/>
      <c r="U25" s="110"/>
      <c r="V25" s="110"/>
      <c r="W25" s="400">
        <v>1500</v>
      </c>
      <c r="X25" s="400">
        <v>1287</v>
      </c>
      <c r="Y25" s="400">
        <v>411</v>
      </c>
      <c r="Z25" s="110">
        <v>2300</v>
      </c>
      <c r="AA25" s="110">
        <v>2811</v>
      </c>
      <c r="AB25" s="110">
        <f>2564+54</f>
        <v>2618</v>
      </c>
      <c r="AC25" s="110">
        <v>467</v>
      </c>
      <c r="AD25" s="110">
        <v>467</v>
      </c>
      <c r="AE25" s="110">
        <v>386</v>
      </c>
      <c r="AF25" s="110">
        <v>700</v>
      </c>
      <c r="AG25" s="110">
        <v>1562</v>
      </c>
      <c r="AH25" s="110">
        <f>725+405</f>
        <v>1130</v>
      </c>
      <c r="AI25" s="110"/>
      <c r="AJ25" s="110"/>
      <c r="AK25" s="110"/>
      <c r="AL25" s="399">
        <f>B25+E25+H25+K25+N25+Q25+T25+W25+Z25+AC25+AF25+AI25</f>
        <v>6452</v>
      </c>
      <c r="AM25" s="399">
        <f t="shared" si="0"/>
        <v>7683</v>
      </c>
      <c r="AN25" s="399">
        <f t="shared" si="2"/>
        <v>4834</v>
      </c>
    </row>
    <row r="26" spans="1:40" s="371" customFormat="1" ht="27.75" customHeight="1">
      <c r="A26" s="383" t="s">
        <v>199</v>
      </c>
      <c r="B26" s="386"/>
      <c r="C26" s="386"/>
      <c r="D26" s="386"/>
      <c r="E26" s="110"/>
      <c r="F26" s="110"/>
      <c r="G26" s="110"/>
      <c r="H26" s="110"/>
      <c r="I26" s="110"/>
      <c r="J26" s="110"/>
      <c r="K26" s="110"/>
      <c r="L26" s="110"/>
      <c r="M26" s="110"/>
      <c r="N26" s="110">
        <v>1310</v>
      </c>
      <c r="O26" s="110">
        <v>1310</v>
      </c>
      <c r="P26" s="110">
        <v>1193</v>
      </c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399">
        <f t="shared" si="1"/>
        <v>1310</v>
      </c>
      <c r="AM26" s="399">
        <f t="shared" si="0"/>
        <v>1310</v>
      </c>
      <c r="AN26" s="399">
        <f t="shared" si="2"/>
        <v>1193</v>
      </c>
    </row>
    <row r="27" spans="1:40" s="371" customFormat="1" ht="27.75" customHeight="1">
      <c r="A27" s="383" t="s">
        <v>204</v>
      </c>
      <c r="B27" s="386"/>
      <c r="C27" s="386"/>
      <c r="D27" s="386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399">
        <f t="shared" si="1"/>
        <v>0</v>
      </c>
      <c r="AM27" s="399">
        <f t="shared" si="0"/>
        <v>0</v>
      </c>
      <c r="AN27" s="399">
        <f t="shared" si="2"/>
        <v>0</v>
      </c>
    </row>
    <row r="28" spans="1:40" s="371" customFormat="1" ht="27.75" customHeight="1">
      <c r="A28" s="383" t="s">
        <v>200</v>
      </c>
      <c r="B28" s="386"/>
      <c r="C28" s="386"/>
      <c r="D28" s="386"/>
      <c r="E28" s="110"/>
      <c r="F28" s="110"/>
      <c r="G28" s="110"/>
      <c r="H28" s="110"/>
      <c r="I28" s="110"/>
      <c r="J28" s="110"/>
      <c r="K28" s="110">
        <v>330</v>
      </c>
      <c r="L28" s="110">
        <v>330</v>
      </c>
      <c r="M28" s="110">
        <v>440</v>
      </c>
      <c r="N28" s="110">
        <v>25</v>
      </c>
      <c r="O28" s="110">
        <v>25</v>
      </c>
      <c r="P28" s="110">
        <v>6</v>
      </c>
      <c r="Q28" s="110"/>
      <c r="R28" s="110"/>
      <c r="S28" s="110"/>
      <c r="T28" s="110"/>
      <c r="U28" s="110"/>
      <c r="V28" s="110"/>
      <c r="W28" s="110">
        <v>50</v>
      </c>
      <c r="X28" s="110">
        <v>50</v>
      </c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399">
        <f t="shared" si="1"/>
        <v>405</v>
      </c>
      <c r="AM28" s="399">
        <f t="shared" si="0"/>
        <v>405</v>
      </c>
      <c r="AN28" s="399">
        <f t="shared" si="2"/>
        <v>446</v>
      </c>
    </row>
    <row r="29" spans="1:40" s="371" customFormat="1" ht="27.75" customHeight="1">
      <c r="A29" s="383" t="s">
        <v>201</v>
      </c>
      <c r="B29" s="386"/>
      <c r="C29" s="386"/>
      <c r="D29" s="386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399">
        <f t="shared" si="1"/>
        <v>0</v>
      </c>
      <c r="AM29" s="399">
        <f t="shared" si="1"/>
        <v>0</v>
      </c>
      <c r="AN29" s="399">
        <f t="shared" si="2"/>
        <v>0</v>
      </c>
    </row>
    <row r="30" spans="1:40" s="371" customFormat="1" ht="27.75" customHeight="1">
      <c r="A30" s="383" t="s">
        <v>206</v>
      </c>
      <c r="B30" s="386">
        <v>0</v>
      </c>
      <c r="C30" s="386">
        <v>7</v>
      </c>
      <c r="D30" s="386">
        <v>7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399">
        <f t="shared" si="1"/>
        <v>0</v>
      </c>
      <c r="AM30" s="399">
        <f t="shared" si="1"/>
        <v>7</v>
      </c>
      <c r="AN30" s="399">
        <f t="shared" si="2"/>
        <v>7</v>
      </c>
    </row>
    <row r="31" spans="1:40" s="371" customFormat="1" ht="27.75" customHeight="1">
      <c r="A31" s="383" t="s">
        <v>202</v>
      </c>
      <c r="B31" s="386"/>
      <c r="C31" s="386"/>
      <c r="D31" s="386"/>
      <c r="E31" s="110"/>
      <c r="F31" s="110"/>
      <c r="G31" s="110"/>
      <c r="H31" s="110"/>
      <c r="I31" s="110"/>
      <c r="J31" s="110"/>
      <c r="K31" s="110">
        <v>1300</v>
      </c>
      <c r="L31" s="110">
        <v>1300</v>
      </c>
      <c r="M31" s="110">
        <v>721</v>
      </c>
      <c r="N31" s="110">
        <v>150</v>
      </c>
      <c r="O31" s="110">
        <v>150</v>
      </c>
      <c r="P31" s="110">
        <v>139</v>
      </c>
      <c r="Q31" s="110">
        <v>35</v>
      </c>
      <c r="R31" s="110">
        <v>35</v>
      </c>
      <c r="S31" s="110">
        <v>88</v>
      </c>
      <c r="T31" s="110"/>
      <c r="U31" s="110"/>
      <c r="V31" s="110"/>
      <c r="W31" s="110">
        <v>500</v>
      </c>
      <c r="X31" s="110">
        <v>500</v>
      </c>
      <c r="Y31" s="110">
        <v>64</v>
      </c>
      <c r="Z31" s="110">
        <v>50</v>
      </c>
      <c r="AA31" s="110">
        <v>50</v>
      </c>
      <c r="AB31" s="110">
        <v>52</v>
      </c>
      <c r="AC31" s="110"/>
      <c r="AD31" s="110"/>
      <c r="AE31" s="110"/>
      <c r="AF31" s="110"/>
      <c r="AG31" s="110"/>
      <c r="AH31" s="110"/>
      <c r="AI31" s="110"/>
      <c r="AJ31" s="110"/>
      <c r="AK31" s="110"/>
      <c r="AL31" s="399">
        <f t="shared" si="1"/>
        <v>2035</v>
      </c>
      <c r="AM31" s="399">
        <f t="shared" si="1"/>
        <v>2035</v>
      </c>
      <c r="AN31" s="399">
        <f t="shared" si="2"/>
        <v>1064</v>
      </c>
    </row>
    <row r="32" spans="1:40" s="371" customFormat="1" ht="27.75" customHeight="1">
      <c r="A32" s="383" t="s">
        <v>203</v>
      </c>
      <c r="B32" s="386"/>
      <c r="C32" s="386"/>
      <c r="D32" s="386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399">
        <f t="shared" si="1"/>
        <v>0</v>
      </c>
      <c r="AM32" s="399">
        <f t="shared" si="1"/>
        <v>0</v>
      </c>
      <c r="AN32" s="399">
        <f t="shared" si="2"/>
        <v>0</v>
      </c>
    </row>
    <row r="33" spans="1:40" s="371" customFormat="1" ht="27.75" customHeight="1">
      <c r="A33" s="383" t="s">
        <v>203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>
        <v>50</v>
      </c>
      <c r="X33" s="386">
        <v>50</v>
      </c>
      <c r="Y33" s="386">
        <v>0</v>
      </c>
      <c r="Z33" s="386">
        <v>60</v>
      </c>
      <c r="AA33" s="386">
        <v>60</v>
      </c>
      <c r="AB33" s="386">
        <v>11</v>
      </c>
      <c r="AC33" s="386">
        <v>65</v>
      </c>
      <c r="AD33" s="386">
        <v>65</v>
      </c>
      <c r="AE33" s="386">
        <v>53</v>
      </c>
      <c r="AF33" s="386"/>
      <c r="AG33" s="401"/>
      <c r="AH33" s="401"/>
      <c r="AI33" s="401"/>
      <c r="AJ33" s="401"/>
      <c r="AK33" s="401"/>
      <c r="AL33" s="402">
        <f t="shared" si="1"/>
        <v>175</v>
      </c>
      <c r="AM33" s="399">
        <f t="shared" si="1"/>
        <v>175</v>
      </c>
      <c r="AN33" s="399">
        <f>D33+G33+J33+M33+P33+S33+V33+Y33+AB33+AE33+AH33+AK33</f>
        <v>64</v>
      </c>
    </row>
    <row r="34" spans="1:40" s="118" customFormat="1" ht="27.75" customHeight="1">
      <c r="A34" s="148" t="s">
        <v>78</v>
      </c>
      <c r="B34" s="149">
        <f>SUM(B23:B33)</f>
        <v>400</v>
      </c>
      <c r="C34" s="149">
        <f aca="true" t="shared" si="3" ref="C34:AN34">SUM(C23:C33)</f>
        <v>457</v>
      </c>
      <c r="D34" s="149">
        <f t="shared" si="3"/>
        <v>351</v>
      </c>
      <c r="E34" s="149">
        <f t="shared" si="3"/>
        <v>0</v>
      </c>
      <c r="F34" s="149">
        <f t="shared" si="3"/>
        <v>21</v>
      </c>
      <c r="G34" s="149">
        <f t="shared" si="3"/>
        <v>21</v>
      </c>
      <c r="H34" s="149">
        <f t="shared" si="3"/>
        <v>115</v>
      </c>
      <c r="I34" s="149">
        <f t="shared" si="3"/>
        <v>115</v>
      </c>
      <c r="J34" s="149">
        <f t="shared" si="3"/>
        <v>24</v>
      </c>
      <c r="K34" s="149">
        <f t="shared" si="3"/>
        <v>2130</v>
      </c>
      <c r="L34" s="149">
        <f t="shared" si="3"/>
        <v>2130</v>
      </c>
      <c r="M34" s="149">
        <f t="shared" si="3"/>
        <v>1331</v>
      </c>
      <c r="N34" s="149">
        <f t="shared" si="3"/>
        <v>1835</v>
      </c>
      <c r="O34" s="149">
        <f t="shared" si="3"/>
        <v>1835</v>
      </c>
      <c r="P34" s="149">
        <f t="shared" si="3"/>
        <v>1025</v>
      </c>
      <c r="Q34" s="149">
        <f t="shared" si="3"/>
        <v>155</v>
      </c>
      <c r="R34" s="149">
        <f t="shared" si="3"/>
        <v>155</v>
      </c>
      <c r="S34" s="149">
        <f t="shared" si="3"/>
        <v>131</v>
      </c>
      <c r="T34" s="149">
        <f t="shared" si="3"/>
        <v>6142</v>
      </c>
      <c r="U34" s="149">
        <f t="shared" si="3"/>
        <v>91235</v>
      </c>
      <c r="V34" s="149">
        <f t="shared" si="3"/>
        <v>91217</v>
      </c>
      <c r="W34" s="149">
        <f t="shared" si="3"/>
        <v>2100</v>
      </c>
      <c r="X34" s="149">
        <f t="shared" si="3"/>
        <v>1887</v>
      </c>
      <c r="Y34" s="149">
        <f t="shared" si="3"/>
        <v>475</v>
      </c>
      <c r="Z34" s="149">
        <f t="shared" si="3"/>
        <v>2410</v>
      </c>
      <c r="AA34" s="149">
        <f t="shared" si="3"/>
        <v>2921</v>
      </c>
      <c r="AB34" s="149">
        <f t="shared" si="3"/>
        <v>3154</v>
      </c>
      <c r="AC34" s="149">
        <f t="shared" si="3"/>
        <v>532</v>
      </c>
      <c r="AD34" s="149">
        <f t="shared" si="3"/>
        <v>532</v>
      </c>
      <c r="AE34" s="149">
        <f t="shared" si="3"/>
        <v>439</v>
      </c>
      <c r="AF34" s="149">
        <f t="shared" si="3"/>
        <v>700</v>
      </c>
      <c r="AG34" s="151">
        <f t="shared" si="3"/>
        <v>1562</v>
      </c>
      <c r="AH34" s="151">
        <f t="shared" si="3"/>
        <v>1130</v>
      </c>
      <c r="AI34" s="151">
        <f t="shared" si="3"/>
        <v>0</v>
      </c>
      <c r="AJ34" s="151">
        <f t="shared" si="3"/>
        <v>0</v>
      </c>
      <c r="AK34" s="151">
        <f t="shared" si="3"/>
        <v>0</v>
      </c>
      <c r="AL34" s="194">
        <f t="shared" si="1"/>
        <v>16519</v>
      </c>
      <c r="AM34" s="194">
        <f t="shared" si="1"/>
        <v>102850</v>
      </c>
      <c r="AN34" s="194">
        <f t="shared" si="3"/>
        <v>99298</v>
      </c>
    </row>
    <row r="35" spans="1:40" ht="12.75" hidden="1">
      <c r="A35" s="37"/>
      <c r="B35" s="47"/>
      <c r="C35" s="47"/>
      <c r="D35" s="47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258"/>
      <c r="AM35" s="168">
        <f aca="true" t="shared" si="4" ref="AM35:AM45">C35+F35+I35+L35+O35+R35+U35+X35+AA35+AD35+AG35+AJ35</f>
        <v>0</v>
      </c>
      <c r="AN35" s="168">
        <f aca="true" t="shared" si="5" ref="AN35:AN45">D35+G35+J35+M35+P35+S35+V35+Y35+AB35+AE35+AH35+AK35</f>
        <v>0</v>
      </c>
    </row>
    <row r="36" spans="1:40" ht="12.75" hidden="1">
      <c r="A36" s="38"/>
      <c r="B36" s="48"/>
      <c r="C36" s="48"/>
      <c r="D36" s="4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4"/>
      <c r="AM36" s="168">
        <f t="shared" si="4"/>
        <v>0</v>
      </c>
      <c r="AN36" s="168">
        <f t="shared" si="5"/>
        <v>0</v>
      </c>
    </row>
    <row r="37" spans="1:40" ht="12.75" hidden="1">
      <c r="A37" s="40"/>
      <c r="B37" s="49"/>
      <c r="C37" s="49"/>
      <c r="D37" s="49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168">
        <f t="shared" si="4"/>
        <v>0</v>
      </c>
      <c r="AN37" s="168">
        <f t="shared" si="5"/>
        <v>0</v>
      </c>
    </row>
    <row r="38" spans="1:40" ht="12.75" hidden="1">
      <c r="A38" s="40"/>
      <c r="B38" s="49"/>
      <c r="C38" s="49"/>
      <c r="D38" s="49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168">
        <f t="shared" si="4"/>
        <v>0</v>
      </c>
      <c r="AN38" s="168">
        <f t="shared" si="5"/>
        <v>0</v>
      </c>
    </row>
    <row r="39" spans="1:40" ht="12.75" hidden="1">
      <c r="A39" s="40"/>
      <c r="B39" s="49"/>
      <c r="C39" s="49"/>
      <c r="D39" s="49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168">
        <f t="shared" si="4"/>
        <v>0</v>
      </c>
      <c r="AN39" s="168">
        <f t="shared" si="5"/>
        <v>0</v>
      </c>
    </row>
    <row r="40" spans="1:40" ht="12.75" hidden="1">
      <c r="A40" s="40"/>
      <c r="B40" s="49"/>
      <c r="C40" s="49"/>
      <c r="D40" s="49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168">
        <f t="shared" si="4"/>
        <v>0</v>
      </c>
      <c r="AN40" s="168">
        <f t="shared" si="5"/>
        <v>0</v>
      </c>
    </row>
    <row r="41" spans="1:40" ht="12.75" hidden="1">
      <c r="A41" s="41"/>
      <c r="B41" s="42">
        <f>SUM(B37:B40)</f>
        <v>0</v>
      </c>
      <c r="C41" s="42"/>
      <c r="D41" s="42"/>
      <c r="E41" s="42">
        <f>SUM(E37:E40)</f>
        <v>0</v>
      </c>
      <c r="F41" s="42"/>
      <c r="G41" s="42"/>
      <c r="H41" s="42">
        <f>SUM(H37:H40)</f>
        <v>0</v>
      </c>
      <c r="I41" s="42"/>
      <c r="J41" s="42"/>
      <c r="K41" s="42">
        <f>SUM(K37:K40)</f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>
        <f>SUM(AL37:AL40)</f>
        <v>0</v>
      </c>
      <c r="AM41" s="168">
        <f t="shared" si="4"/>
        <v>0</v>
      </c>
      <c r="AN41" s="168">
        <f t="shared" si="5"/>
        <v>0</v>
      </c>
    </row>
    <row r="42" spans="1:40" ht="12.75" hidden="1">
      <c r="A42" s="38"/>
      <c r="B42" s="50"/>
      <c r="C42" s="50"/>
      <c r="D42" s="50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168">
        <f t="shared" si="4"/>
        <v>0</v>
      </c>
      <c r="AN42" s="168">
        <f t="shared" si="5"/>
        <v>0</v>
      </c>
    </row>
    <row r="43" spans="1:40" ht="12.75" hidden="1">
      <c r="A43" s="41"/>
      <c r="B43" s="42"/>
      <c r="C43" s="42"/>
      <c r="D43" s="42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168">
        <f t="shared" si="4"/>
        <v>0</v>
      </c>
      <c r="AN43" s="168">
        <f t="shared" si="5"/>
        <v>0</v>
      </c>
    </row>
    <row r="44" spans="1:40" ht="12.75" hidden="1">
      <c r="A44" s="44"/>
      <c r="B44" s="51"/>
      <c r="C44" s="51"/>
      <c r="D44" s="5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168">
        <f t="shared" si="4"/>
        <v>0</v>
      </c>
      <c r="AN44" s="168">
        <f t="shared" si="5"/>
        <v>0</v>
      </c>
    </row>
    <row r="45" spans="1:40" ht="12.75" hidden="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168">
        <f t="shared" si="4"/>
        <v>0</v>
      </c>
      <c r="AN45" s="168">
        <f t="shared" si="5"/>
        <v>0</v>
      </c>
    </row>
  </sheetData>
  <sheetProtection/>
  <mergeCells count="44">
    <mergeCell ref="AC20:AE20"/>
    <mergeCell ref="AC21:AE21"/>
    <mergeCell ref="AF19:AH19"/>
    <mergeCell ref="AF20:AH20"/>
    <mergeCell ref="AI19:AK19"/>
    <mergeCell ref="AI20:AK20"/>
    <mergeCell ref="AF21:AH21"/>
    <mergeCell ref="AI21:AK21"/>
    <mergeCell ref="W19:Y19"/>
    <mergeCell ref="W20:Y20"/>
    <mergeCell ref="W21:Y21"/>
    <mergeCell ref="AL19:AN19"/>
    <mergeCell ref="AL20:AN20"/>
    <mergeCell ref="AL21:AN21"/>
    <mergeCell ref="Z19:AB19"/>
    <mergeCell ref="Z20:AB20"/>
    <mergeCell ref="Z21:AB21"/>
    <mergeCell ref="AC19:AE19"/>
    <mergeCell ref="Q19:S19"/>
    <mergeCell ref="Q20:S20"/>
    <mergeCell ref="Q21:S21"/>
    <mergeCell ref="T19:V19"/>
    <mergeCell ref="T20:V20"/>
    <mergeCell ref="T21:V21"/>
    <mergeCell ref="N19:P19"/>
    <mergeCell ref="N20:P20"/>
    <mergeCell ref="N21:P21"/>
    <mergeCell ref="H21:J21"/>
    <mergeCell ref="K19:M19"/>
    <mergeCell ref="B21:D21"/>
    <mergeCell ref="E21:G21"/>
    <mergeCell ref="E20:G20"/>
    <mergeCell ref="H19:J19"/>
    <mergeCell ref="H20:J20"/>
    <mergeCell ref="AF1:AN1"/>
    <mergeCell ref="K20:M20"/>
    <mergeCell ref="K21:M21"/>
    <mergeCell ref="A19:A21"/>
    <mergeCell ref="A5:AL5"/>
    <mergeCell ref="A6:AL6"/>
    <mergeCell ref="A7:AL7"/>
    <mergeCell ref="B19:D19"/>
    <mergeCell ref="B20:D20"/>
    <mergeCell ref="E19:G1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5:AH33"/>
  <sheetViews>
    <sheetView zoomScalePageLayoutView="0" workbookViewId="0" topLeftCell="C24">
      <selection activeCell="A5" sqref="A5:AH5"/>
    </sheetView>
  </sheetViews>
  <sheetFormatPr defaultColWidth="8.375" defaultRowHeight="12.75"/>
  <cols>
    <col min="1" max="1" width="32.50390625" style="56" bestFit="1" customWidth="1"/>
    <col min="2" max="7" width="5.625" style="56" bestFit="1" customWidth="1"/>
    <col min="8" max="10" width="7.625" style="56" bestFit="1" customWidth="1"/>
    <col min="11" max="12" width="4.125" style="56" bestFit="1" customWidth="1"/>
    <col min="13" max="13" width="5.125" style="56" bestFit="1" customWidth="1"/>
    <col min="14" max="22" width="6.625" style="56" bestFit="1" customWidth="1"/>
    <col min="23" max="26" width="5.625" style="56" bestFit="1" customWidth="1"/>
    <col min="27" max="27" width="3.625" style="56" bestFit="1" customWidth="1"/>
    <col min="28" max="28" width="5.625" style="56" bestFit="1" customWidth="1"/>
    <col min="29" max="29" width="3.625" style="56" bestFit="1" customWidth="1"/>
    <col min="30" max="30" width="3.00390625" style="56" bestFit="1" customWidth="1"/>
    <col min="31" max="31" width="5.625" style="56" bestFit="1" customWidth="1"/>
    <col min="32" max="34" width="7.625" style="56" bestFit="1" customWidth="1"/>
    <col min="35" max="16384" width="8.375" style="56" customWidth="1"/>
  </cols>
  <sheetData>
    <row r="5" spans="1:34" ht="17.25" customHeight="1">
      <c r="A5" s="511" t="s">
        <v>477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</row>
    <row r="6" spans="1:31" ht="12.75">
      <c r="A6"/>
      <c r="B6"/>
      <c r="C6"/>
      <c r="D6"/>
      <c r="W6"/>
      <c r="X6"/>
      <c r="Y6"/>
      <c r="Z6"/>
      <c r="AA6"/>
      <c r="AB6"/>
      <c r="AC6"/>
      <c r="AD6"/>
      <c r="AE6"/>
    </row>
    <row r="7" spans="1:31" ht="12.75">
      <c r="A7"/>
      <c r="B7"/>
      <c r="C7"/>
      <c r="D7"/>
      <c r="W7"/>
      <c r="X7"/>
      <c r="Y7"/>
      <c r="Z7"/>
      <c r="AA7"/>
      <c r="AB7"/>
      <c r="AC7"/>
      <c r="AD7"/>
      <c r="AE7"/>
    </row>
    <row r="8" spans="1:31" ht="12.75">
      <c r="A8"/>
      <c r="B8"/>
      <c r="C8"/>
      <c r="D8"/>
      <c r="W8"/>
      <c r="X8"/>
      <c r="Y8"/>
      <c r="Z8"/>
      <c r="AA8"/>
      <c r="AB8"/>
      <c r="AC8"/>
      <c r="AD8"/>
      <c r="AE8"/>
    </row>
    <row r="9" spans="1:31" ht="12.75">
      <c r="A9"/>
      <c r="B9"/>
      <c r="C9"/>
      <c r="D9"/>
      <c r="W9"/>
      <c r="X9"/>
      <c r="Y9"/>
      <c r="Z9"/>
      <c r="AA9"/>
      <c r="AB9"/>
      <c r="AC9"/>
      <c r="AD9"/>
      <c r="AE9"/>
    </row>
    <row r="10" spans="1:34" ht="15.75">
      <c r="A10" s="435" t="s">
        <v>77</v>
      </c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35"/>
      <c r="AG10" s="435"/>
      <c r="AH10" s="435"/>
    </row>
    <row r="11" spans="1:34" ht="15.75">
      <c r="A11" s="436" t="str">
        <f>'sZOLGÁLTATÁS 6-c'!A6:AL6</f>
        <v>2012. évi zárása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</row>
    <row r="12" spans="1:34" ht="15.75">
      <c r="A12" s="597" t="s">
        <v>163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  <c r="V12" s="597"/>
      <c r="W12" s="597"/>
      <c r="X12" s="597"/>
      <c r="Y12" s="597"/>
      <c r="Z12" s="597"/>
      <c r="AA12" s="597"/>
      <c r="AB12" s="597"/>
      <c r="AC12" s="597"/>
      <c r="AD12" s="597"/>
      <c r="AE12" s="597"/>
      <c r="AF12" s="597"/>
      <c r="AG12" s="597"/>
      <c r="AH12" s="597"/>
    </row>
    <row r="13" spans="1:34" ht="15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 ht="15.7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 ht="15.7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ht="15.7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418" t="s">
        <v>269</v>
      </c>
      <c r="AG16" s="418"/>
      <c r="AH16" s="418"/>
    </row>
    <row r="17" spans="1:34" ht="19.5" customHeight="1">
      <c r="A17" s="589" t="s">
        <v>20</v>
      </c>
      <c r="B17" s="493" t="s">
        <v>164</v>
      </c>
      <c r="C17" s="494"/>
      <c r="D17" s="495"/>
      <c r="E17" s="493" t="s">
        <v>165</v>
      </c>
      <c r="F17" s="494"/>
      <c r="G17" s="495"/>
      <c r="H17" s="493" t="s">
        <v>146</v>
      </c>
      <c r="I17" s="494"/>
      <c r="J17" s="495"/>
      <c r="K17" s="493" t="s">
        <v>166</v>
      </c>
      <c r="L17" s="494"/>
      <c r="M17" s="495"/>
      <c r="N17" s="493" t="s">
        <v>35</v>
      </c>
      <c r="O17" s="494"/>
      <c r="P17" s="495"/>
      <c r="Q17" s="493" t="s">
        <v>174</v>
      </c>
      <c r="R17" s="494"/>
      <c r="S17" s="495"/>
      <c r="T17" s="493" t="s">
        <v>330</v>
      </c>
      <c r="U17" s="494"/>
      <c r="V17" s="495"/>
      <c r="W17" s="493" t="s">
        <v>167</v>
      </c>
      <c r="X17" s="494"/>
      <c r="Y17" s="495"/>
      <c r="Z17" s="493" t="s">
        <v>334</v>
      </c>
      <c r="AA17" s="494"/>
      <c r="AB17" s="495"/>
      <c r="AC17" s="493" t="s">
        <v>193</v>
      </c>
      <c r="AD17" s="494"/>
      <c r="AE17" s="495"/>
      <c r="AF17" s="594" t="s">
        <v>13</v>
      </c>
      <c r="AG17" s="595"/>
      <c r="AH17" s="596"/>
    </row>
    <row r="18" spans="1:34" ht="19.5" customHeight="1">
      <c r="A18" s="590"/>
      <c r="B18" s="496" t="s">
        <v>90</v>
      </c>
      <c r="C18" s="497"/>
      <c r="D18" s="498"/>
      <c r="E18" s="496" t="s">
        <v>168</v>
      </c>
      <c r="F18" s="497"/>
      <c r="G18" s="498"/>
      <c r="H18" s="496" t="s">
        <v>143</v>
      </c>
      <c r="I18" s="497"/>
      <c r="J18" s="498"/>
      <c r="K18" s="496"/>
      <c r="L18" s="497"/>
      <c r="M18" s="498"/>
      <c r="N18" s="496"/>
      <c r="O18" s="497"/>
      <c r="P18" s="498"/>
      <c r="Q18" s="496" t="s">
        <v>383</v>
      </c>
      <c r="R18" s="497"/>
      <c r="S18" s="498"/>
      <c r="T18" s="496" t="s">
        <v>192</v>
      </c>
      <c r="U18" s="497"/>
      <c r="V18" s="498"/>
      <c r="W18" s="496" t="s">
        <v>333</v>
      </c>
      <c r="X18" s="497"/>
      <c r="Y18" s="498"/>
      <c r="Z18" s="496" t="s">
        <v>335</v>
      </c>
      <c r="AA18" s="497"/>
      <c r="AB18" s="498"/>
      <c r="AC18" s="496"/>
      <c r="AD18" s="497"/>
      <c r="AE18" s="498"/>
      <c r="AF18" s="601"/>
      <c r="AG18" s="602"/>
      <c r="AH18" s="603"/>
    </row>
    <row r="19" spans="1:34" ht="19.5" customHeight="1">
      <c r="A19" s="590"/>
      <c r="B19" s="591"/>
      <c r="C19" s="592"/>
      <c r="D19" s="593"/>
      <c r="E19" s="591" t="s">
        <v>169</v>
      </c>
      <c r="F19" s="592"/>
      <c r="G19" s="593"/>
      <c r="H19" s="591"/>
      <c r="I19" s="592"/>
      <c r="J19" s="593"/>
      <c r="K19" s="591"/>
      <c r="L19" s="592"/>
      <c r="M19" s="593"/>
      <c r="N19" s="591"/>
      <c r="O19" s="592"/>
      <c r="P19" s="593"/>
      <c r="Q19" s="591" t="s">
        <v>329</v>
      </c>
      <c r="R19" s="592"/>
      <c r="S19" s="593"/>
      <c r="T19" s="591" t="s">
        <v>331</v>
      </c>
      <c r="U19" s="592"/>
      <c r="V19" s="593"/>
      <c r="W19" s="591" t="s">
        <v>90</v>
      </c>
      <c r="X19" s="592"/>
      <c r="Y19" s="593"/>
      <c r="Z19" s="591" t="s">
        <v>332</v>
      </c>
      <c r="AA19" s="592"/>
      <c r="AB19" s="593"/>
      <c r="AC19" s="591"/>
      <c r="AD19" s="592"/>
      <c r="AE19" s="593"/>
      <c r="AF19" s="598"/>
      <c r="AG19" s="599"/>
      <c r="AH19" s="600"/>
    </row>
    <row r="20" spans="1:34" ht="19.5" customHeight="1">
      <c r="A20" s="403"/>
      <c r="B20" s="195" t="s">
        <v>305</v>
      </c>
      <c r="C20" s="195" t="s">
        <v>306</v>
      </c>
      <c r="D20" s="195" t="s">
        <v>308</v>
      </c>
      <c r="E20" s="195" t="s">
        <v>305</v>
      </c>
      <c r="F20" s="195" t="s">
        <v>306</v>
      </c>
      <c r="G20" s="195" t="s">
        <v>308</v>
      </c>
      <c r="H20" s="195" t="s">
        <v>305</v>
      </c>
      <c r="I20" s="195" t="s">
        <v>306</v>
      </c>
      <c r="J20" s="195" t="s">
        <v>308</v>
      </c>
      <c r="K20" s="195" t="s">
        <v>305</v>
      </c>
      <c r="L20" s="195" t="s">
        <v>306</v>
      </c>
      <c r="M20" s="195" t="s">
        <v>308</v>
      </c>
      <c r="N20" s="195" t="s">
        <v>305</v>
      </c>
      <c r="O20" s="195" t="s">
        <v>306</v>
      </c>
      <c r="P20" s="195" t="s">
        <v>308</v>
      </c>
      <c r="Q20" s="195" t="s">
        <v>305</v>
      </c>
      <c r="R20" s="195" t="s">
        <v>306</v>
      </c>
      <c r="S20" s="195" t="s">
        <v>308</v>
      </c>
      <c r="T20" s="195" t="s">
        <v>305</v>
      </c>
      <c r="U20" s="195" t="s">
        <v>306</v>
      </c>
      <c r="V20" s="195" t="s">
        <v>308</v>
      </c>
      <c r="W20" s="195" t="s">
        <v>305</v>
      </c>
      <c r="X20" s="195" t="s">
        <v>306</v>
      </c>
      <c r="Y20" s="195" t="s">
        <v>308</v>
      </c>
      <c r="Z20" s="195" t="s">
        <v>305</v>
      </c>
      <c r="AA20" s="195" t="s">
        <v>306</v>
      </c>
      <c r="AB20" s="195" t="s">
        <v>308</v>
      </c>
      <c r="AC20" s="195" t="s">
        <v>305</v>
      </c>
      <c r="AD20" s="195" t="s">
        <v>306</v>
      </c>
      <c r="AE20" s="195" t="s">
        <v>308</v>
      </c>
      <c r="AF20" s="195" t="s">
        <v>305</v>
      </c>
      <c r="AG20" s="195" t="s">
        <v>306</v>
      </c>
      <c r="AH20" s="195" t="s">
        <v>308</v>
      </c>
    </row>
    <row r="21" spans="1:34" ht="27.75" customHeight="1">
      <c r="A21" s="14" t="s">
        <v>196</v>
      </c>
      <c r="B21" s="57"/>
      <c r="C21" s="57"/>
      <c r="D21" s="57"/>
      <c r="E21" s="58"/>
      <c r="F21" s="58"/>
      <c r="G21" s="58"/>
      <c r="H21" s="116">
        <f>'DOLOGI ÖSSZ 6'!N14</f>
        <v>7800</v>
      </c>
      <c r="I21" s="116">
        <f>'DOLOGI ÖSSZ 6'!O14</f>
        <v>115631</v>
      </c>
      <c r="J21" s="116">
        <f>'DOLOGI ÖSSZ 6'!P14</f>
        <v>116239</v>
      </c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201">
        <f>B21+E21+H21+K21+N21+Q21+T21+W21+Z21+AC21</f>
        <v>7800</v>
      </c>
      <c r="AG21" s="201">
        <f aca="true" t="shared" si="0" ref="AG21:AH27">C21+F21+I21+L21+O21+R21+U21+X21+AA21+AD21</f>
        <v>115631</v>
      </c>
      <c r="AH21" s="201">
        <f t="shared" si="0"/>
        <v>116239</v>
      </c>
    </row>
    <row r="22" spans="1:34" ht="27.75" customHeight="1">
      <c r="A22" s="14" t="s">
        <v>197</v>
      </c>
      <c r="B22" s="57"/>
      <c r="C22" s="57"/>
      <c r="D22" s="57"/>
      <c r="E22" s="58"/>
      <c r="F22" s="58"/>
      <c r="G22" s="58"/>
      <c r="H22" s="116">
        <f>'DOLOGI ÖSSZ 6'!N15</f>
        <v>0</v>
      </c>
      <c r="I22" s="116">
        <f>'DOLOGI ÖSSZ 6'!O15</f>
        <v>0</v>
      </c>
      <c r="J22" s="116">
        <f>'DOLOGI ÖSSZ 6'!P15</f>
        <v>0</v>
      </c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201">
        <f aca="true" t="shared" si="1" ref="AF22:AG32">B22+E22+H22+K22+N22+Q22+T22+W22+Z22+AC22</f>
        <v>0</v>
      </c>
      <c r="AG22" s="201">
        <f t="shared" si="0"/>
        <v>0</v>
      </c>
      <c r="AH22" s="201">
        <f aca="true" t="shared" si="2" ref="AH22:AH32">D22+G22+J22+M22+P22+S22+V22+Y22+AB22+AE22</f>
        <v>0</v>
      </c>
    </row>
    <row r="23" spans="1:34" ht="27.75" customHeight="1">
      <c r="A23" s="14" t="s">
        <v>198</v>
      </c>
      <c r="B23" s="60">
        <f>'Személyi j. 4,5'!E24</f>
        <v>2352</v>
      </c>
      <c r="C23" s="60">
        <f>'Személyi j. 4,5'!F24</f>
        <v>2346</v>
      </c>
      <c r="D23" s="60">
        <f>'Személyi j. 4,5'!G24</f>
        <v>2325</v>
      </c>
      <c r="E23" s="59">
        <f>'Személyi j. 4,5'!E34</f>
        <v>608.3</v>
      </c>
      <c r="F23" s="59">
        <f>'Személyi j. 4,5'!F34</f>
        <v>623.7800000000001</v>
      </c>
      <c r="G23" s="59">
        <f>'Személyi j. 4,5'!G34</f>
        <v>624.48</v>
      </c>
      <c r="H23" s="116">
        <f>'DOLOGI ÖSSZ 6'!N16</f>
        <v>11357</v>
      </c>
      <c r="I23" s="116">
        <f>'DOLOGI ÖSSZ 6'!O16</f>
        <v>13225</v>
      </c>
      <c r="J23" s="116">
        <f>'DOLOGI ÖSSZ 6'!P16</f>
        <v>7446</v>
      </c>
      <c r="K23" s="59">
        <f>'Beruházás 10.'!B25</f>
        <v>250</v>
      </c>
      <c r="L23" s="59">
        <f>'Beruházás 10.'!C25</f>
        <v>240</v>
      </c>
      <c r="M23" s="59">
        <f>'Beruházás 10.'!D25</f>
        <v>0</v>
      </c>
      <c r="N23" s="59">
        <f>'Felújítás 11.'!B16</f>
        <v>16043</v>
      </c>
      <c r="O23" s="59">
        <f>'Felújítás 11.'!C16</f>
        <v>66208</v>
      </c>
      <c r="P23" s="59">
        <f>'Felújítás 11.'!D16</f>
        <v>65378</v>
      </c>
      <c r="Q23" s="59">
        <f>1500</f>
        <v>1500</v>
      </c>
      <c r="R23" s="59">
        <f>1500+17639</f>
        <v>19139</v>
      </c>
      <c r="S23" s="59">
        <f>1500+9206</f>
        <v>10706</v>
      </c>
      <c r="T23" s="60">
        <f>'7-8-9 es'!C17</f>
        <v>19640</v>
      </c>
      <c r="U23" s="60">
        <f>'7-8-9 es'!D17</f>
        <v>18345</v>
      </c>
      <c r="V23" s="60">
        <f>'7-8-9 es'!D17</f>
        <v>18345</v>
      </c>
      <c r="W23" s="60">
        <f>'7-8-9 es'!C63</f>
        <v>4948</v>
      </c>
      <c r="X23" s="60">
        <f>'7-8-9 es'!D63</f>
        <v>4135</v>
      </c>
      <c r="Y23" s="60">
        <f>'7-8-9 es'!D63</f>
        <v>4135</v>
      </c>
      <c r="Z23" s="60">
        <f>'7-8-9 es'!C37</f>
        <v>704</v>
      </c>
      <c r="AA23" s="60">
        <f>'7-8-9 es'!D37</f>
        <v>64</v>
      </c>
      <c r="AB23" s="60">
        <f>'7-8-9 es'!D37</f>
        <v>64</v>
      </c>
      <c r="AC23" s="162">
        <v>55</v>
      </c>
      <c r="AD23" s="162">
        <v>0</v>
      </c>
      <c r="AE23" s="162">
        <f>8018-1183-401</f>
        <v>6434</v>
      </c>
      <c r="AF23" s="201">
        <f t="shared" si="1"/>
        <v>57457.3</v>
      </c>
      <c r="AG23" s="201">
        <f t="shared" si="0"/>
        <v>124325.78</v>
      </c>
      <c r="AH23" s="201">
        <f>D23+G23+J23+M23+P23+S23+V23+Y23+AB23+AE23</f>
        <v>115457.48</v>
      </c>
    </row>
    <row r="24" spans="1:34" ht="27.75" customHeight="1">
      <c r="A24" s="14" t="s">
        <v>265</v>
      </c>
      <c r="B24" s="60">
        <f>'Személyi j. 4,5'!B24</f>
        <v>4811</v>
      </c>
      <c r="C24" s="60">
        <f>'Személyi j. 4,5'!C24</f>
        <v>4824</v>
      </c>
      <c r="D24" s="60">
        <f>'Személyi j. 4,5'!D24</f>
        <v>4896</v>
      </c>
      <c r="E24" s="61">
        <f>'Személyi j. 4,5'!B34</f>
        <v>1001.7</v>
      </c>
      <c r="F24" s="61">
        <f>'Személyi j. 4,5'!C34</f>
        <v>1121</v>
      </c>
      <c r="G24" s="61">
        <f>'Személyi j. 4,5'!D34</f>
        <v>1084</v>
      </c>
      <c r="H24" s="116">
        <v>0</v>
      </c>
      <c r="I24" s="116">
        <v>0</v>
      </c>
      <c r="J24" s="116">
        <v>0</v>
      </c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60"/>
      <c r="V24" s="60"/>
      <c r="W24" s="60"/>
      <c r="X24" s="60"/>
      <c r="Y24" s="60"/>
      <c r="Z24" s="60"/>
      <c r="AA24" s="57"/>
      <c r="AB24" s="57"/>
      <c r="AC24" s="57"/>
      <c r="AD24" s="57"/>
      <c r="AE24" s="57"/>
      <c r="AF24" s="201">
        <f t="shared" si="1"/>
        <v>5812.7</v>
      </c>
      <c r="AG24" s="201">
        <f t="shared" si="0"/>
        <v>5945</v>
      </c>
      <c r="AH24" s="201">
        <f t="shared" si="2"/>
        <v>5980</v>
      </c>
    </row>
    <row r="25" spans="1:34" ht="27.75" customHeight="1">
      <c r="A25" s="14" t="s">
        <v>199</v>
      </c>
      <c r="B25" s="60"/>
      <c r="C25" s="60"/>
      <c r="D25" s="60"/>
      <c r="E25" s="59"/>
      <c r="F25" s="59"/>
      <c r="G25" s="59"/>
      <c r="H25" s="116">
        <f>'DOLOGI ÖSSZ 6'!N17</f>
        <v>1664</v>
      </c>
      <c r="I25" s="116">
        <f>'DOLOGI ÖSSZ 6'!O17</f>
        <v>1664</v>
      </c>
      <c r="J25" s="116">
        <f>'DOLOGI ÖSSZ 6'!P17</f>
        <v>1514</v>
      </c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60"/>
      <c r="V25" s="60"/>
      <c r="W25" s="60"/>
      <c r="X25" s="60"/>
      <c r="Y25" s="60"/>
      <c r="Z25" s="60"/>
      <c r="AA25" s="57"/>
      <c r="AB25" s="57"/>
      <c r="AC25" s="57"/>
      <c r="AD25" s="57"/>
      <c r="AE25" s="57"/>
      <c r="AF25" s="201">
        <f t="shared" si="1"/>
        <v>1664</v>
      </c>
      <c r="AG25" s="201">
        <f t="shared" si="0"/>
        <v>1664</v>
      </c>
      <c r="AH25" s="201">
        <f t="shared" si="2"/>
        <v>1514</v>
      </c>
    </row>
    <row r="26" spans="1:34" ht="27.75" customHeight="1">
      <c r="A26" s="14" t="s">
        <v>204</v>
      </c>
      <c r="B26" s="60"/>
      <c r="C26" s="60"/>
      <c r="D26" s="60"/>
      <c r="E26" s="59"/>
      <c r="F26" s="59"/>
      <c r="G26" s="59"/>
      <c r="H26" s="116">
        <f>'DOLOGI ÖSSZ 6'!N18</f>
        <v>10</v>
      </c>
      <c r="I26" s="116">
        <f>'DOLOGI ÖSSZ 6'!O18</f>
        <v>10</v>
      </c>
      <c r="J26" s="116">
        <f>'DOLOGI ÖSSZ 6'!P18</f>
        <v>0</v>
      </c>
      <c r="K26" s="116">
        <f>'DOLOGI ÖSSZ 6'!Q18</f>
        <v>0</v>
      </c>
      <c r="L26" s="59"/>
      <c r="M26" s="59"/>
      <c r="N26" s="59"/>
      <c r="O26" s="59"/>
      <c r="P26" s="59"/>
      <c r="Q26" s="59"/>
      <c r="R26" s="59"/>
      <c r="S26" s="59"/>
      <c r="T26" s="60"/>
      <c r="U26" s="60"/>
      <c r="V26" s="60"/>
      <c r="W26" s="60"/>
      <c r="X26" s="60"/>
      <c r="Y26" s="60"/>
      <c r="Z26" s="60"/>
      <c r="AA26" s="57"/>
      <c r="AB26" s="57"/>
      <c r="AC26" s="57"/>
      <c r="AD26" s="57"/>
      <c r="AE26" s="57"/>
      <c r="AF26" s="201">
        <f t="shared" si="1"/>
        <v>10</v>
      </c>
      <c r="AG26" s="201">
        <f t="shared" si="0"/>
        <v>10</v>
      </c>
      <c r="AH26" s="201">
        <f t="shared" si="2"/>
        <v>0</v>
      </c>
    </row>
    <row r="27" spans="1:34" ht="27.75" customHeight="1">
      <c r="A27" s="14" t="s">
        <v>200</v>
      </c>
      <c r="B27" s="60"/>
      <c r="C27" s="60"/>
      <c r="D27" s="60"/>
      <c r="E27" s="59"/>
      <c r="F27" s="59"/>
      <c r="G27" s="59"/>
      <c r="H27" s="116">
        <f>'DOLOGI ÖSSZ 6'!N19</f>
        <v>673</v>
      </c>
      <c r="I27" s="116">
        <f>'DOLOGI ÖSSZ 6'!O19</f>
        <v>681</v>
      </c>
      <c r="J27" s="116">
        <f>'DOLOGI ÖSSZ 6'!P19</f>
        <v>720</v>
      </c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60"/>
      <c r="V27" s="60"/>
      <c r="W27" s="60"/>
      <c r="X27" s="60"/>
      <c r="Y27" s="60"/>
      <c r="Z27" s="60"/>
      <c r="AA27" s="57"/>
      <c r="AB27" s="57"/>
      <c r="AC27" s="57"/>
      <c r="AD27" s="57"/>
      <c r="AE27" s="57"/>
      <c r="AF27" s="201">
        <f>B27+E27+H27+K27+N27+Q27+T27+W27+Z27+AC27</f>
        <v>673</v>
      </c>
      <c r="AG27" s="201">
        <f t="shared" si="0"/>
        <v>681</v>
      </c>
      <c r="AH27" s="201">
        <f t="shared" si="2"/>
        <v>720</v>
      </c>
    </row>
    <row r="28" spans="1:34" ht="27.75" customHeight="1">
      <c r="A28" s="14" t="s">
        <v>201</v>
      </c>
      <c r="B28" s="116">
        <f>'Személyi j. 4,5'!K24</f>
        <v>100</v>
      </c>
      <c r="C28" s="116">
        <f>'Személyi j. 4,5'!L24</f>
        <v>1519</v>
      </c>
      <c r="D28" s="116">
        <f>'Személyi j. 4,5'!M24</f>
        <v>1468</v>
      </c>
      <c r="E28" s="116">
        <f>'Személyi j. 4,5'!K34</f>
        <v>27</v>
      </c>
      <c r="F28" s="116">
        <f>'Személyi j. 4,5'!L34</f>
        <v>199</v>
      </c>
      <c r="G28" s="116">
        <f>'Személyi j. 4,5'!M34</f>
        <v>198</v>
      </c>
      <c r="H28" s="116">
        <f>'kÉSZLETBESZ. 6-a'!AC20</f>
        <v>130</v>
      </c>
      <c r="I28" s="116">
        <f>'kÉSZLETBESZ. 6-a'!AD20</f>
        <v>0</v>
      </c>
      <c r="J28" s="116">
        <f>'kÉSZLETBESZ. 6-a'!AE20</f>
        <v>0</v>
      </c>
      <c r="K28" s="59"/>
      <c r="L28" s="59"/>
      <c r="M28" s="59"/>
      <c r="N28" s="59"/>
      <c r="O28" s="59"/>
      <c r="P28" s="59"/>
      <c r="Q28" s="59"/>
      <c r="R28" s="59"/>
      <c r="S28" s="59"/>
      <c r="T28" s="60"/>
      <c r="U28" s="60"/>
      <c r="V28" s="60"/>
      <c r="W28" s="60"/>
      <c r="X28" s="60"/>
      <c r="Y28" s="60"/>
      <c r="Z28" s="60"/>
      <c r="AA28" s="57"/>
      <c r="AB28" s="57"/>
      <c r="AC28" s="57"/>
      <c r="AD28" s="57"/>
      <c r="AE28" s="57"/>
      <c r="AF28" s="201">
        <f t="shared" si="1"/>
        <v>257</v>
      </c>
      <c r="AG28" s="201">
        <f t="shared" si="1"/>
        <v>1718</v>
      </c>
      <c r="AH28" s="201">
        <f t="shared" si="2"/>
        <v>1666</v>
      </c>
    </row>
    <row r="29" spans="1:34" ht="27.75" customHeight="1">
      <c r="A29" s="14" t="s">
        <v>207</v>
      </c>
      <c r="B29" s="116">
        <v>0</v>
      </c>
      <c r="C29" s="60"/>
      <c r="D29" s="60"/>
      <c r="E29" s="116"/>
      <c r="F29" s="59"/>
      <c r="G29" s="59"/>
      <c r="H29" s="116">
        <f>'DOLOGI ÖSSZ 6'!N21</f>
        <v>165</v>
      </c>
      <c r="I29" s="116">
        <f>'DOLOGI ÖSSZ 6'!O21</f>
        <v>337</v>
      </c>
      <c r="J29" s="116">
        <f>'DOLOGI ÖSSZ 6'!P21</f>
        <v>88</v>
      </c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60"/>
      <c r="V29" s="60"/>
      <c r="W29" s="60"/>
      <c r="X29" s="60"/>
      <c r="Y29" s="60"/>
      <c r="Z29" s="60"/>
      <c r="AA29" s="57"/>
      <c r="AB29" s="57"/>
      <c r="AC29" s="57"/>
      <c r="AD29" s="57"/>
      <c r="AE29" s="57"/>
      <c r="AF29" s="201">
        <f t="shared" si="1"/>
        <v>165</v>
      </c>
      <c r="AG29" s="201">
        <f t="shared" si="1"/>
        <v>337</v>
      </c>
      <c r="AH29" s="201">
        <f t="shared" si="2"/>
        <v>88</v>
      </c>
    </row>
    <row r="30" spans="1:34" ht="27.75" customHeight="1">
      <c r="A30" s="14" t="s">
        <v>202</v>
      </c>
      <c r="B30" s="60"/>
      <c r="C30" s="60"/>
      <c r="D30" s="60"/>
      <c r="E30" s="59"/>
      <c r="F30" s="59"/>
      <c r="G30" s="59"/>
      <c r="H30" s="116">
        <f>'DOLOGI ÖSSZ 6'!N22</f>
        <v>3214</v>
      </c>
      <c r="I30" s="116">
        <f>'DOLOGI ÖSSZ 6'!O22</f>
        <v>3283</v>
      </c>
      <c r="J30" s="116">
        <f>'DOLOGI ÖSSZ 6'!P22</f>
        <v>1828</v>
      </c>
      <c r="K30" s="59"/>
      <c r="L30" s="59"/>
      <c r="M30" s="59"/>
      <c r="N30" s="59"/>
      <c r="O30" s="59"/>
      <c r="P30" s="59"/>
      <c r="Q30" s="59"/>
      <c r="R30" s="59"/>
      <c r="S30" s="59"/>
      <c r="T30" s="60"/>
      <c r="U30" s="60"/>
      <c r="V30" s="60"/>
      <c r="W30" s="60"/>
      <c r="X30" s="60"/>
      <c r="Y30" s="60"/>
      <c r="Z30" s="60"/>
      <c r="AA30" s="57"/>
      <c r="AB30" s="57"/>
      <c r="AC30" s="57"/>
      <c r="AD30" s="57"/>
      <c r="AE30" s="57"/>
      <c r="AF30" s="201">
        <f t="shared" si="1"/>
        <v>3214</v>
      </c>
      <c r="AG30" s="201">
        <f t="shared" si="1"/>
        <v>3283</v>
      </c>
      <c r="AH30" s="201">
        <f t="shared" si="2"/>
        <v>1828</v>
      </c>
    </row>
    <row r="31" spans="1:34" ht="27.75" customHeight="1">
      <c r="A31" s="265" t="s">
        <v>208</v>
      </c>
      <c r="B31" s="200"/>
      <c r="C31" s="200"/>
      <c r="D31" s="60"/>
      <c r="E31" s="59">
        <v>48</v>
      </c>
      <c r="F31" s="59">
        <v>48</v>
      </c>
      <c r="G31" s="59">
        <v>0</v>
      </c>
      <c r="H31" s="116"/>
      <c r="I31" s="116"/>
      <c r="J31" s="116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60"/>
      <c r="V31" s="60"/>
      <c r="W31" s="60"/>
      <c r="X31" s="60"/>
      <c r="Y31" s="60"/>
      <c r="Z31" s="60"/>
      <c r="AA31" s="57"/>
      <c r="AB31" s="57"/>
      <c r="AC31" s="57"/>
      <c r="AD31" s="57"/>
      <c r="AE31" s="57"/>
      <c r="AF31" s="201"/>
      <c r="AG31" s="201"/>
      <c r="AH31" s="201"/>
    </row>
    <row r="32" spans="1:34" ht="27.75" customHeight="1">
      <c r="A32" s="14" t="s">
        <v>396</v>
      </c>
      <c r="B32" s="60"/>
      <c r="C32" s="60"/>
      <c r="D32" s="60"/>
      <c r="E32" s="59"/>
      <c r="F32" s="59"/>
      <c r="G32" s="59"/>
      <c r="H32" s="116">
        <f>'DOLOGI ÖSSZ 6'!N23</f>
        <v>222</v>
      </c>
      <c r="I32" s="116">
        <f>'DOLOGI ÖSSZ 6'!O23</f>
        <v>222</v>
      </c>
      <c r="J32" s="116">
        <f>'DOLOGI ÖSSZ 6'!P23</f>
        <v>81</v>
      </c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60"/>
      <c r="V32" s="60"/>
      <c r="W32" s="60"/>
      <c r="X32" s="60"/>
      <c r="Y32" s="60"/>
      <c r="Z32" s="60"/>
      <c r="AA32" s="57"/>
      <c r="AB32" s="57"/>
      <c r="AC32" s="57"/>
      <c r="AD32" s="57"/>
      <c r="AE32" s="57"/>
      <c r="AF32" s="201">
        <f t="shared" si="1"/>
        <v>222</v>
      </c>
      <c r="AG32" s="201">
        <f t="shared" si="1"/>
        <v>222</v>
      </c>
      <c r="AH32" s="201">
        <f t="shared" si="2"/>
        <v>81</v>
      </c>
    </row>
    <row r="33" spans="1:34" s="264" customFormat="1" ht="27.75" customHeight="1">
      <c r="A33" s="263" t="s">
        <v>14</v>
      </c>
      <c r="B33" s="202">
        <f aca="true" t="shared" si="3" ref="B33:AH33">SUM(B21:B32)</f>
        <v>7263</v>
      </c>
      <c r="C33" s="202">
        <f t="shared" si="3"/>
        <v>8689</v>
      </c>
      <c r="D33" s="202">
        <f t="shared" si="3"/>
        <v>8689</v>
      </c>
      <c r="E33" s="202">
        <f t="shared" si="3"/>
        <v>1685</v>
      </c>
      <c r="F33" s="202">
        <f t="shared" si="3"/>
        <v>1991.7800000000002</v>
      </c>
      <c r="G33" s="202">
        <f t="shared" si="3"/>
        <v>1906.48</v>
      </c>
      <c r="H33" s="202">
        <f t="shared" si="3"/>
        <v>25235</v>
      </c>
      <c r="I33" s="202">
        <f t="shared" si="3"/>
        <v>135053</v>
      </c>
      <c r="J33" s="202">
        <f t="shared" si="3"/>
        <v>127916</v>
      </c>
      <c r="K33" s="202">
        <f t="shared" si="3"/>
        <v>250</v>
      </c>
      <c r="L33" s="202">
        <f t="shared" si="3"/>
        <v>240</v>
      </c>
      <c r="M33" s="202">
        <f t="shared" si="3"/>
        <v>0</v>
      </c>
      <c r="N33" s="202">
        <f t="shared" si="3"/>
        <v>16043</v>
      </c>
      <c r="O33" s="202">
        <f t="shared" si="3"/>
        <v>66208</v>
      </c>
      <c r="P33" s="202">
        <f t="shared" si="3"/>
        <v>65378</v>
      </c>
      <c r="Q33" s="202">
        <f t="shared" si="3"/>
        <v>1500</v>
      </c>
      <c r="R33" s="202">
        <f t="shared" si="3"/>
        <v>19139</v>
      </c>
      <c r="S33" s="202">
        <f t="shared" si="3"/>
        <v>10706</v>
      </c>
      <c r="T33" s="202">
        <f t="shared" si="3"/>
        <v>19640</v>
      </c>
      <c r="U33" s="202">
        <f t="shared" si="3"/>
        <v>18345</v>
      </c>
      <c r="V33" s="202">
        <f t="shared" si="3"/>
        <v>18345</v>
      </c>
      <c r="W33" s="202">
        <f t="shared" si="3"/>
        <v>4948</v>
      </c>
      <c r="X33" s="202">
        <f t="shared" si="3"/>
        <v>4135</v>
      </c>
      <c r="Y33" s="202">
        <f t="shared" si="3"/>
        <v>4135</v>
      </c>
      <c r="Z33" s="202">
        <f t="shared" si="3"/>
        <v>704</v>
      </c>
      <c r="AA33" s="202">
        <f t="shared" si="3"/>
        <v>64</v>
      </c>
      <c r="AB33" s="202">
        <f t="shared" si="3"/>
        <v>64</v>
      </c>
      <c r="AC33" s="202">
        <f t="shared" si="3"/>
        <v>55</v>
      </c>
      <c r="AD33" s="202">
        <f t="shared" si="3"/>
        <v>0</v>
      </c>
      <c r="AE33" s="202">
        <f t="shared" si="3"/>
        <v>6434</v>
      </c>
      <c r="AF33" s="202">
        <f t="shared" si="3"/>
        <v>77275</v>
      </c>
      <c r="AG33" s="202">
        <f t="shared" si="3"/>
        <v>253816.78</v>
      </c>
      <c r="AH33" s="202">
        <f t="shared" si="3"/>
        <v>243573.47999999998</v>
      </c>
    </row>
  </sheetData>
  <sheetProtection/>
  <mergeCells count="39">
    <mergeCell ref="W18:Y18"/>
    <mergeCell ref="AF19:AH19"/>
    <mergeCell ref="AF18:AH18"/>
    <mergeCell ref="Z19:AB19"/>
    <mergeCell ref="Z18:AB18"/>
    <mergeCell ref="AC18:AE18"/>
    <mergeCell ref="AC19:AE19"/>
    <mergeCell ref="K18:M18"/>
    <mergeCell ref="K19:M19"/>
    <mergeCell ref="N18:P18"/>
    <mergeCell ref="N19:P19"/>
    <mergeCell ref="E18:G18"/>
    <mergeCell ref="E19:G19"/>
    <mergeCell ref="H18:J18"/>
    <mergeCell ref="H19:J19"/>
    <mergeCell ref="A5:AH5"/>
    <mergeCell ref="A12:AH12"/>
    <mergeCell ref="A11:AH11"/>
    <mergeCell ref="A10:AH10"/>
    <mergeCell ref="AF16:AH16"/>
    <mergeCell ref="B17:D17"/>
    <mergeCell ref="AC17:AE17"/>
    <mergeCell ref="N17:P17"/>
    <mergeCell ref="Z17:AB17"/>
    <mergeCell ref="T17:V17"/>
    <mergeCell ref="W17:Y17"/>
    <mergeCell ref="AF17:AH17"/>
    <mergeCell ref="Q17:S17"/>
    <mergeCell ref="H17:J17"/>
    <mergeCell ref="A17:A19"/>
    <mergeCell ref="W19:Y19"/>
    <mergeCell ref="T19:V19"/>
    <mergeCell ref="T18:V18"/>
    <mergeCell ref="Q18:S18"/>
    <mergeCell ref="Q19:S19"/>
    <mergeCell ref="B18:D18"/>
    <mergeCell ref="K17:M17"/>
    <mergeCell ref="B19:D19"/>
    <mergeCell ref="E17:G17"/>
  </mergeCells>
  <printOptions/>
  <pageMargins left="0.5905511811023623" right="0.1968503937007874" top="0.2362204724409449" bottom="0.3937007874015748" header="0.5118110236220472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63"/>
  <sheetViews>
    <sheetView zoomScale="85" zoomScaleNormal="85" zoomScalePageLayoutView="0" workbookViewId="0" topLeftCell="A30">
      <selection activeCell="F54" sqref="F54"/>
    </sheetView>
  </sheetViews>
  <sheetFormatPr defaultColWidth="9.00390625" defaultRowHeight="12.75"/>
  <cols>
    <col min="1" max="1" width="74.50390625" style="0" customWidth="1"/>
    <col min="2" max="3" width="15.875" style="0" bestFit="1" customWidth="1"/>
    <col min="4" max="4" width="17.00390625" style="0" customWidth="1"/>
  </cols>
  <sheetData>
    <row r="1" spans="3:4" ht="12.75" customHeight="1">
      <c r="C1" s="511" t="s">
        <v>392</v>
      </c>
      <c r="D1" s="511"/>
    </row>
    <row r="2" spans="1:5" ht="15.75">
      <c r="A2" s="435" t="s">
        <v>77</v>
      </c>
      <c r="B2" s="435"/>
      <c r="C2" s="435"/>
      <c r="D2" s="435"/>
      <c r="E2" s="26"/>
    </row>
    <row r="3" spans="1:5" ht="15.75">
      <c r="A3" s="435" t="s">
        <v>401</v>
      </c>
      <c r="B3" s="435"/>
      <c r="C3" s="435"/>
      <c r="D3" s="435"/>
      <c r="E3" s="53"/>
    </row>
    <row r="4" spans="1:5" ht="12.75">
      <c r="A4" s="26"/>
      <c r="B4" s="26"/>
      <c r="C4" s="26"/>
      <c r="D4" s="26"/>
      <c r="E4" s="53"/>
    </row>
    <row r="5" spans="1:5" ht="15.75">
      <c r="A5" s="75"/>
      <c r="B5" s="76"/>
      <c r="E5" s="54"/>
    </row>
    <row r="6" spans="1:5" ht="15.75">
      <c r="A6" s="435" t="s">
        <v>153</v>
      </c>
      <c r="B6" s="435"/>
      <c r="C6" s="435"/>
      <c r="D6" s="435"/>
      <c r="E6" s="29"/>
    </row>
    <row r="8" ht="16.5" thickBot="1">
      <c r="D8" s="81" t="s">
        <v>269</v>
      </c>
    </row>
    <row r="9" spans="1:4" ht="12.75">
      <c r="A9" s="604" t="s">
        <v>20</v>
      </c>
      <c r="B9" s="249" t="s">
        <v>260</v>
      </c>
      <c r="C9" s="249" t="s">
        <v>260</v>
      </c>
      <c r="D9" s="249" t="s">
        <v>260</v>
      </c>
    </row>
    <row r="10" spans="1:4" ht="12.75">
      <c r="A10" s="605"/>
      <c r="B10" s="156" t="s">
        <v>86</v>
      </c>
      <c r="C10" s="156" t="s">
        <v>86</v>
      </c>
      <c r="D10" s="156" t="s">
        <v>86</v>
      </c>
    </row>
    <row r="11" spans="1:4" ht="12.75">
      <c r="A11" s="605"/>
      <c r="B11" s="156" t="s">
        <v>154</v>
      </c>
      <c r="C11" s="156" t="s">
        <v>313</v>
      </c>
      <c r="D11" s="156" t="s">
        <v>345</v>
      </c>
    </row>
    <row r="12" spans="1:4" ht="12.75">
      <c r="A12" s="250" t="s">
        <v>155</v>
      </c>
      <c r="B12" s="245">
        <f>9372+708-354</f>
        <v>9726</v>
      </c>
      <c r="C12" s="245">
        <f>9372+708-354</f>
        <v>9726</v>
      </c>
      <c r="D12" s="245">
        <v>9726</v>
      </c>
    </row>
    <row r="13" spans="1:4" ht="12.75">
      <c r="A13" s="250" t="s">
        <v>211</v>
      </c>
      <c r="B13" s="246">
        <v>9600</v>
      </c>
      <c r="C13" s="246">
        <v>9600</v>
      </c>
      <c r="D13" s="246">
        <v>8586</v>
      </c>
    </row>
    <row r="14" spans="1:4" ht="12.75">
      <c r="A14" s="250" t="s">
        <v>389</v>
      </c>
      <c r="B14" s="246"/>
      <c r="C14" s="246"/>
      <c r="D14" s="246"/>
    </row>
    <row r="15" spans="1:4" ht="12.75">
      <c r="A15" s="250" t="s">
        <v>210</v>
      </c>
      <c r="B15" s="171">
        <v>281</v>
      </c>
      <c r="C15" s="171">
        <v>281</v>
      </c>
      <c r="D15" s="171">
        <v>0</v>
      </c>
    </row>
    <row r="16" spans="1:4" ht="12.75">
      <c r="A16" s="250" t="s">
        <v>368</v>
      </c>
      <c r="B16" s="171">
        <v>0</v>
      </c>
      <c r="C16" s="171">
        <v>33</v>
      </c>
      <c r="D16" s="171">
        <v>33</v>
      </c>
    </row>
    <row r="17" spans="1:4" ht="13.5" thickBot="1">
      <c r="A17" s="254" t="s">
        <v>14</v>
      </c>
      <c r="B17" s="255">
        <f>SUM(B12:B16)</f>
        <v>19607</v>
      </c>
      <c r="C17" s="255">
        <f>SUM(C12:C16)</f>
        <v>19640</v>
      </c>
      <c r="D17" s="255">
        <f>SUM(D12:D16)</f>
        <v>18345</v>
      </c>
    </row>
    <row r="18" spans="1:4" ht="12.75">
      <c r="A18" s="244"/>
      <c r="B18" s="244"/>
      <c r="C18" s="244"/>
      <c r="D18" s="244"/>
    </row>
    <row r="19" spans="1:4" ht="15.75">
      <c r="A19" s="55"/>
      <c r="B19" s="511" t="s">
        <v>393</v>
      </c>
      <c r="C19" s="511"/>
      <c r="D19" s="511"/>
    </row>
    <row r="20" spans="1:4" ht="15.75">
      <c r="A20" s="435" t="s">
        <v>77</v>
      </c>
      <c r="B20" s="435"/>
      <c r="C20" s="435"/>
      <c r="D20" s="435"/>
    </row>
    <row r="21" spans="1:4" ht="15.75">
      <c r="A21" s="435" t="str">
        <f>A3</f>
        <v>2012. évi zárás</v>
      </c>
      <c r="B21" s="435"/>
      <c r="C21" s="435"/>
      <c r="D21" s="435"/>
    </row>
    <row r="22" spans="1:4" ht="12.75">
      <c r="A22" s="26"/>
      <c r="B22" s="26"/>
      <c r="C22" s="26"/>
      <c r="D22" s="26"/>
    </row>
    <row r="23" ht="15.75">
      <c r="C23" s="81"/>
    </row>
    <row r="24" spans="1:4" ht="15.75">
      <c r="A24" s="435" t="s">
        <v>156</v>
      </c>
      <c r="B24" s="435"/>
      <c r="C24" s="435"/>
      <c r="D24" s="435"/>
    </row>
    <row r="25" spans="1:4" ht="15.75">
      <c r="A25" s="435" t="s">
        <v>157</v>
      </c>
      <c r="B25" s="435"/>
      <c r="C25" s="435"/>
      <c r="D25" s="435"/>
    </row>
    <row r="26" spans="1:4" ht="12.75">
      <c r="A26" s="29"/>
      <c r="B26" s="29"/>
      <c r="C26" s="29"/>
      <c r="D26" s="29"/>
    </row>
    <row r="27" ht="16.5" thickBot="1">
      <c r="D27" s="266" t="s">
        <v>269</v>
      </c>
    </row>
    <row r="28" spans="1:4" ht="12.75">
      <c r="A28" s="604" t="s">
        <v>20</v>
      </c>
      <c r="B28" s="249" t="s">
        <v>260</v>
      </c>
      <c r="C28" s="249" t="s">
        <v>260</v>
      </c>
      <c r="D28" s="249" t="s">
        <v>260</v>
      </c>
    </row>
    <row r="29" spans="1:4" ht="12.75">
      <c r="A29" s="605"/>
      <c r="B29" s="156" t="s">
        <v>86</v>
      </c>
      <c r="C29" s="156" t="s">
        <v>86</v>
      </c>
      <c r="D29" s="156" t="s">
        <v>86</v>
      </c>
    </row>
    <row r="30" spans="1:4" ht="12.75">
      <c r="A30" s="605"/>
      <c r="B30" s="156" t="s">
        <v>158</v>
      </c>
      <c r="C30" s="156" t="s">
        <v>313</v>
      </c>
      <c r="D30" s="156" t="s">
        <v>345</v>
      </c>
    </row>
    <row r="31" spans="1:4" ht="12.75">
      <c r="A31" s="250" t="s">
        <v>293</v>
      </c>
      <c r="B31" s="80">
        <v>182</v>
      </c>
      <c r="C31" s="80"/>
      <c r="D31" s="80"/>
    </row>
    <row r="32" spans="1:4" ht="12.75">
      <c r="A32" s="250" t="s">
        <v>294</v>
      </c>
      <c r="B32" s="80">
        <v>99</v>
      </c>
      <c r="C32" s="80"/>
      <c r="D32" s="80"/>
    </row>
    <row r="33" spans="1:4" ht="12.75">
      <c r="A33" s="250" t="s">
        <v>159</v>
      </c>
      <c r="B33" s="157">
        <v>673</v>
      </c>
      <c r="C33" s="157">
        <v>640</v>
      </c>
      <c r="D33" s="157"/>
    </row>
    <row r="34" spans="1:4" ht="12.75">
      <c r="A34" s="251" t="s">
        <v>263</v>
      </c>
      <c r="B34" s="158">
        <f>SUM(B31:B33)</f>
        <v>954</v>
      </c>
      <c r="C34" s="158">
        <f>SUM(C31:C33)</f>
        <v>640</v>
      </c>
      <c r="D34" s="158">
        <f>SUM(D31:D33)</f>
        <v>0</v>
      </c>
    </row>
    <row r="35" spans="1:4" ht="12.75">
      <c r="A35" s="176" t="s">
        <v>262</v>
      </c>
      <c r="B35" s="24">
        <v>64</v>
      </c>
      <c r="C35" s="24">
        <v>64</v>
      </c>
      <c r="D35" s="24">
        <v>64</v>
      </c>
    </row>
    <row r="36" spans="1:4" ht="16.5" thickBot="1">
      <c r="A36" s="252" t="s">
        <v>264</v>
      </c>
      <c r="B36" s="253">
        <f>SUM(B35)</f>
        <v>64</v>
      </c>
      <c r="C36" s="253">
        <f>SUM(C35)</f>
        <v>64</v>
      </c>
      <c r="D36" s="253">
        <f>SUM(D35)</f>
        <v>64</v>
      </c>
    </row>
    <row r="37" spans="1:4" ht="16.5" thickBot="1">
      <c r="A37" s="247" t="s">
        <v>14</v>
      </c>
      <c r="B37" s="248">
        <f>B34+B36</f>
        <v>1018</v>
      </c>
      <c r="C37" s="248">
        <f>C34+C36</f>
        <v>704</v>
      </c>
      <c r="D37" s="248">
        <f>D34+D36</f>
        <v>64</v>
      </c>
    </row>
    <row r="38" spans="1:4" ht="15.75">
      <c r="A38" s="101"/>
      <c r="B38" s="102"/>
      <c r="C38" s="102"/>
      <c r="D38" s="102"/>
    </row>
    <row r="39" spans="1:4" ht="15.75">
      <c r="A39" s="101"/>
      <c r="B39" s="101"/>
      <c r="C39" s="102"/>
      <c r="D39" s="102"/>
    </row>
    <row r="40" spans="1:4" ht="15.75">
      <c r="A40" s="511" t="s">
        <v>394</v>
      </c>
      <c r="B40" s="511"/>
      <c r="C40" s="511"/>
      <c r="D40" s="511"/>
    </row>
    <row r="41" spans="1:4" ht="15.75">
      <c r="A41" s="435" t="s">
        <v>77</v>
      </c>
      <c r="B41" s="435"/>
      <c r="C41" s="435"/>
      <c r="D41" s="435"/>
    </row>
    <row r="42" spans="1:4" ht="15.75">
      <c r="A42" s="435" t="str">
        <f>A21</f>
        <v>2012. évi zárás</v>
      </c>
      <c r="B42" s="435"/>
      <c r="C42" s="435"/>
      <c r="D42" s="435"/>
    </row>
    <row r="43" spans="1:4" ht="12.75">
      <c r="A43" s="26"/>
      <c r="B43" s="26"/>
      <c r="C43" s="26"/>
      <c r="D43" s="26"/>
    </row>
    <row r="44" spans="1:4" ht="15.75">
      <c r="A44" s="435" t="s">
        <v>160</v>
      </c>
      <c r="B44" s="435"/>
      <c r="C44" s="435"/>
      <c r="D44" s="435"/>
    </row>
    <row r="45" spans="1:4" ht="15.75">
      <c r="A45" s="435" t="s">
        <v>161</v>
      </c>
      <c r="B45" s="435"/>
      <c r="C45" s="435"/>
      <c r="D45" s="435"/>
    </row>
    <row r="46" spans="1:4" ht="12.75">
      <c r="A46" s="29"/>
      <c r="B46" s="29"/>
      <c r="C46" s="29"/>
      <c r="D46" s="29"/>
    </row>
    <row r="47" spans="1:4" ht="16.5" thickBot="1">
      <c r="A47" s="29"/>
      <c r="B47" s="29"/>
      <c r="C47" s="52"/>
      <c r="D47" s="267" t="s">
        <v>269</v>
      </c>
    </row>
    <row r="48" spans="1:4" ht="12.75">
      <c r="A48" s="604" t="s">
        <v>20</v>
      </c>
      <c r="B48" s="249" t="s">
        <v>260</v>
      </c>
      <c r="C48" s="249" t="s">
        <v>260</v>
      </c>
      <c r="D48" s="249" t="s">
        <v>260</v>
      </c>
    </row>
    <row r="49" spans="1:4" ht="12.75">
      <c r="A49" s="605"/>
      <c r="B49" s="156" t="s">
        <v>86</v>
      </c>
      <c r="C49" s="156" t="s">
        <v>86</v>
      </c>
      <c r="D49" s="156" t="s">
        <v>86</v>
      </c>
    </row>
    <row r="50" spans="1:4" ht="12.75">
      <c r="A50" s="605"/>
      <c r="B50" s="156" t="s">
        <v>158</v>
      </c>
      <c r="C50" s="156" t="s">
        <v>313</v>
      </c>
      <c r="D50" s="156" t="s">
        <v>345</v>
      </c>
    </row>
    <row r="51" spans="1:4" ht="12.75">
      <c r="A51" s="175" t="s">
        <v>402</v>
      </c>
      <c r="B51" s="24">
        <v>82</v>
      </c>
      <c r="C51" s="99">
        <v>161</v>
      </c>
      <c r="D51" s="99"/>
    </row>
    <row r="52" spans="1:4" ht="12.75">
      <c r="A52" s="176" t="s">
        <v>285</v>
      </c>
      <c r="B52" s="24">
        <v>20</v>
      </c>
      <c r="C52" s="99">
        <v>653</v>
      </c>
      <c r="D52" s="99">
        <v>653</v>
      </c>
    </row>
    <row r="53" spans="1:4" ht="12.75">
      <c r="A53" s="176" t="s">
        <v>286</v>
      </c>
      <c r="B53" s="24">
        <v>440</v>
      </c>
      <c r="C53" s="99">
        <v>1296</v>
      </c>
      <c r="D53" s="99">
        <v>1296</v>
      </c>
    </row>
    <row r="54" spans="1:4" ht="12.75">
      <c r="A54" s="175" t="s">
        <v>287</v>
      </c>
      <c r="B54" s="24">
        <v>0</v>
      </c>
      <c r="C54" s="99">
        <v>139</v>
      </c>
      <c r="D54" s="99">
        <v>139</v>
      </c>
    </row>
    <row r="55" spans="1:4" ht="12.75">
      <c r="A55" s="175" t="s">
        <v>362</v>
      </c>
      <c r="B55" s="24"/>
      <c r="C55" s="99">
        <v>180</v>
      </c>
      <c r="D55" s="99">
        <v>180</v>
      </c>
    </row>
    <row r="56" spans="1:4" ht="12.75">
      <c r="A56" s="175" t="s">
        <v>366</v>
      </c>
      <c r="B56" s="24">
        <v>345</v>
      </c>
      <c r="C56" s="99">
        <v>920</v>
      </c>
      <c r="D56" s="99">
        <v>920</v>
      </c>
    </row>
    <row r="57" spans="1:4" ht="12.75">
      <c r="A57" s="175" t="s">
        <v>367</v>
      </c>
      <c r="B57" s="24">
        <v>283</v>
      </c>
      <c r="C57" s="99">
        <v>628</v>
      </c>
      <c r="D57" s="99">
        <v>283</v>
      </c>
    </row>
    <row r="58" spans="1:4" ht="12.75">
      <c r="A58" s="175" t="s">
        <v>288</v>
      </c>
      <c r="B58" s="24">
        <v>100</v>
      </c>
      <c r="C58" s="99">
        <v>100</v>
      </c>
      <c r="D58" s="99">
        <v>100</v>
      </c>
    </row>
    <row r="59" spans="1:4" ht="12.75">
      <c r="A59" s="175" t="s">
        <v>289</v>
      </c>
      <c r="B59" s="24">
        <v>220</v>
      </c>
      <c r="C59" s="99">
        <v>133</v>
      </c>
      <c r="D59" s="99">
        <v>133</v>
      </c>
    </row>
    <row r="60" spans="1:4" ht="12.75">
      <c r="A60" s="175" t="s">
        <v>290</v>
      </c>
      <c r="B60" s="24">
        <v>150</v>
      </c>
      <c r="C60" s="99">
        <v>150</v>
      </c>
      <c r="D60" s="99">
        <v>41</v>
      </c>
    </row>
    <row r="61" spans="1:4" ht="12.75">
      <c r="A61" s="175" t="s">
        <v>291</v>
      </c>
      <c r="B61" s="24">
        <v>200</v>
      </c>
      <c r="C61" s="177">
        <v>500</v>
      </c>
      <c r="D61" s="99">
        <v>302</v>
      </c>
    </row>
    <row r="62" spans="1:4" ht="12.75">
      <c r="A62" s="175" t="s">
        <v>292</v>
      </c>
      <c r="B62" s="24">
        <v>0</v>
      </c>
      <c r="C62" s="99">
        <v>88</v>
      </c>
      <c r="D62" s="99">
        <v>88</v>
      </c>
    </row>
    <row r="63" spans="1:4" ht="13.5" thickBot="1">
      <c r="A63" s="256" t="s">
        <v>162</v>
      </c>
      <c r="B63" s="257">
        <f>SUM(B51:B62)</f>
        <v>1840</v>
      </c>
      <c r="C63" s="257">
        <f>SUM(C51:C62)</f>
        <v>4948</v>
      </c>
      <c r="D63" s="257">
        <f>SUM(D51:D62)</f>
        <v>4135</v>
      </c>
    </row>
  </sheetData>
  <sheetProtection/>
  <mergeCells count="17">
    <mergeCell ref="A9:A11"/>
    <mergeCell ref="B19:D19"/>
    <mergeCell ref="A20:D20"/>
    <mergeCell ref="C1:D1"/>
    <mergeCell ref="A2:D2"/>
    <mergeCell ref="A3:D3"/>
    <mergeCell ref="A6:D6"/>
    <mergeCell ref="A21:D21"/>
    <mergeCell ref="A24:D24"/>
    <mergeCell ref="A42:D42"/>
    <mergeCell ref="A48:A50"/>
    <mergeCell ref="A28:A30"/>
    <mergeCell ref="A44:D44"/>
    <mergeCell ref="A45:D45"/>
    <mergeCell ref="A25:D25"/>
    <mergeCell ref="A40:D40"/>
    <mergeCell ref="A41:D4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32"/>
  <sheetViews>
    <sheetView zoomScalePageLayoutView="0" workbookViewId="0" topLeftCell="A7">
      <selection activeCell="E1" sqref="E1"/>
    </sheetView>
  </sheetViews>
  <sheetFormatPr defaultColWidth="9.00390625" defaultRowHeight="12.75"/>
  <cols>
    <col min="1" max="1" width="43.625" style="9" customWidth="1"/>
    <col min="2" max="2" width="13.625" style="8" bestFit="1" customWidth="1"/>
    <col min="3" max="3" width="14.00390625" style="8" bestFit="1" customWidth="1"/>
    <col min="4" max="4" width="13.875" style="8" customWidth="1"/>
    <col min="5" max="16384" width="9.375" style="8" customWidth="1"/>
  </cols>
  <sheetData>
    <row r="1" spans="3:4" ht="15.75" customHeight="1">
      <c r="C1" s="606" t="s">
        <v>275</v>
      </c>
      <c r="D1" s="606"/>
    </row>
    <row r="6" spans="1:4" ht="14.25" customHeight="1">
      <c r="A6" s="607" t="s">
        <v>77</v>
      </c>
      <c r="B6" s="607"/>
      <c r="C6" s="607"/>
      <c r="D6" s="607"/>
    </row>
    <row r="7" spans="1:4" ht="14.25">
      <c r="A7" s="607" t="str">
        <f>'7-8-9 es'!A42:D42</f>
        <v>2012. évi zárás</v>
      </c>
      <c r="B7" s="607"/>
      <c r="C7" s="607"/>
      <c r="D7" s="607"/>
    </row>
    <row r="8" spans="1:4" ht="14.25">
      <c r="A8" s="103"/>
      <c r="B8" s="103"/>
      <c r="C8" s="103"/>
      <c r="D8" s="103"/>
    </row>
    <row r="9" spans="1:4" ht="14.25">
      <c r="A9" s="103"/>
      <c r="B9" s="103"/>
      <c r="C9" s="103"/>
      <c r="D9" s="103"/>
    </row>
    <row r="10" spans="1:4" ht="14.25">
      <c r="A10" s="103"/>
      <c r="B10" s="103"/>
      <c r="C10" s="103"/>
      <c r="D10" s="103"/>
    </row>
    <row r="11" spans="1:3" ht="14.25">
      <c r="A11" s="103"/>
      <c r="B11" s="103"/>
      <c r="C11" s="103"/>
    </row>
    <row r="12" spans="1:4" ht="15.75">
      <c r="A12" s="608" t="s">
        <v>276</v>
      </c>
      <c r="B12" s="608"/>
      <c r="C12" s="608"/>
      <c r="D12" s="608"/>
    </row>
    <row r="13" spans="1:4" ht="15.75">
      <c r="A13" s="192"/>
      <c r="B13" s="192"/>
      <c r="C13" s="192"/>
      <c r="D13" s="192"/>
    </row>
    <row r="14" spans="1:4" ht="15.75">
      <c r="A14" s="192"/>
      <c r="B14" s="192"/>
      <c r="C14" s="192"/>
      <c r="D14" s="192"/>
    </row>
    <row r="15" spans="1:4" ht="15.75">
      <c r="A15" s="192"/>
      <c r="B15" s="192"/>
      <c r="C15" s="192"/>
      <c r="D15" s="192"/>
    </row>
    <row r="16" spans="2:3" ht="12.75">
      <c r="B16" s="9"/>
      <c r="C16" s="9"/>
    </row>
    <row r="17" spans="1:4" ht="18" customHeight="1">
      <c r="A17" s="82"/>
      <c r="D17" s="178" t="s">
        <v>269</v>
      </c>
    </row>
    <row r="18" spans="1:4" s="10" customFormat="1" ht="44.25" customHeight="1">
      <c r="A18" s="153" t="s">
        <v>29</v>
      </c>
      <c r="B18" s="154" t="s">
        <v>372</v>
      </c>
      <c r="C18" s="154" t="s">
        <v>373</v>
      </c>
      <c r="D18" s="240" t="s">
        <v>365</v>
      </c>
    </row>
    <row r="19" spans="1:4" s="11" customFormat="1" ht="12" customHeight="1">
      <c r="A19" s="155">
        <v>1</v>
      </c>
      <c r="B19" s="155" t="s">
        <v>205</v>
      </c>
      <c r="C19" s="241">
        <v>4</v>
      </c>
      <c r="D19" s="166">
        <v>8</v>
      </c>
    </row>
    <row r="20" spans="1:4" ht="27.75" customHeight="1">
      <c r="A20" s="13"/>
      <c r="B20" s="13"/>
      <c r="C20" s="13"/>
      <c r="D20" s="83"/>
    </row>
    <row r="21" spans="1:4" ht="15.75" customHeight="1">
      <c r="A21" s="13"/>
      <c r="B21" s="13"/>
      <c r="C21" s="13"/>
      <c r="D21" s="83"/>
    </row>
    <row r="22" spans="1:4" ht="15.75" customHeight="1">
      <c r="A22" s="13" t="s">
        <v>312</v>
      </c>
      <c r="B22" s="13">
        <v>250</v>
      </c>
      <c r="C22" s="13">
        <v>240</v>
      </c>
      <c r="D22" s="259">
        <v>0</v>
      </c>
    </row>
    <row r="23" spans="1:4" ht="15.75" customHeight="1">
      <c r="A23" s="13"/>
      <c r="B23" s="13"/>
      <c r="C23" s="165"/>
      <c r="D23" s="83"/>
    </row>
    <row r="24" spans="1:4" ht="15.75" customHeight="1">
      <c r="A24" s="13"/>
      <c r="B24" s="100"/>
      <c r="C24" s="83"/>
      <c r="D24" s="83"/>
    </row>
    <row r="25" spans="1:4" s="12" customFormat="1" ht="18" customHeight="1">
      <c r="A25" s="242" t="s">
        <v>25</v>
      </c>
      <c r="B25" s="243">
        <f>SUM(B20:B24)</f>
        <v>250</v>
      </c>
      <c r="C25" s="243">
        <f>SUM(C20:C24)</f>
        <v>240</v>
      </c>
      <c r="D25" s="260">
        <f>SUM(D20:D24)</f>
        <v>0</v>
      </c>
    </row>
    <row r="27" spans="1:3" ht="12.75">
      <c r="A27" s="84"/>
      <c r="B27" s="91"/>
      <c r="C27" s="91"/>
    </row>
    <row r="28" spans="1:3" ht="12.75">
      <c r="A28" s="85"/>
      <c r="B28" s="85"/>
      <c r="C28" s="86"/>
    </row>
    <row r="29" spans="1:3" ht="12.75">
      <c r="A29" s="87"/>
      <c r="B29" s="88"/>
      <c r="C29" s="88"/>
    </row>
    <row r="30" spans="1:3" ht="12.75">
      <c r="A30" s="90"/>
      <c r="B30" s="88"/>
      <c r="C30" s="88"/>
    </row>
    <row r="31" spans="1:3" ht="12.75">
      <c r="A31" s="89"/>
      <c r="B31" s="88"/>
      <c r="C31" s="88"/>
    </row>
    <row r="32" spans="1:3" ht="12.75">
      <c r="A32" s="90"/>
      <c r="B32" s="88"/>
      <c r="C32" s="88"/>
    </row>
  </sheetData>
  <sheetProtection/>
  <mergeCells count="4">
    <mergeCell ref="C1:D1"/>
    <mergeCell ref="A6:D6"/>
    <mergeCell ref="A7:D7"/>
    <mergeCell ref="A12:D12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portrait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zoomScalePageLayoutView="0" workbookViewId="0" topLeftCell="A3">
      <selection activeCell="F14" sqref="F14"/>
    </sheetView>
  </sheetViews>
  <sheetFormatPr defaultColWidth="9.00390625" defaultRowHeight="12.75"/>
  <cols>
    <col min="1" max="1" width="54.50390625" style="9" customWidth="1"/>
    <col min="2" max="2" width="13.875" style="8" customWidth="1"/>
    <col min="3" max="3" width="16.375" style="8" customWidth="1"/>
    <col min="4" max="4" width="18.00390625" style="8" customWidth="1"/>
    <col min="5" max="16384" width="9.375" style="8" customWidth="1"/>
  </cols>
  <sheetData>
    <row r="1" spans="2:4" ht="15.75" customHeight="1">
      <c r="B1" s="609" t="s">
        <v>273</v>
      </c>
      <c r="C1" s="609"/>
      <c r="D1" s="609"/>
    </row>
    <row r="2" spans="2:3" ht="15.75" customHeight="1">
      <c r="B2" s="164"/>
      <c r="C2" s="164"/>
    </row>
    <row r="3" spans="2:3" ht="15.75" customHeight="1">
      <c r="B3" s="164"/>
      <c r="C3" s="164"/>
    </row>
    <row r="4" spans="1:4" ht="15.75">
      <c r="A4" s="435" t="s">
        <v>77</v>
      </c>
      <c r="B4" s="435"/>
      <c r="C4" s="435"/>
      <c r="D4" s="435"/>
    </row>
    <row r="5" spans="1:4" ht="15.75">
      <c r="A5" s="435" t="str">
        <f>'Beruházás 10.'!A7:C7</f>
        <v>2012. évi zárás</v>
      </c>
      <c r="B5" s="435"/>
      <c r="C5" s="435"/>
      <c r="D5" s="435"/>
    </row>
    <row r="6" spans="1:3" ht="15.75">
      <c r="A6" s="70"/>
      <c r="B6" s="70"/>
      <c r="C6" s="70"/>
    </row>
    <row r="7" spans="1:3" ht="15.75">
      <c r="A7" s="70"/>
      <c r="B7" s="70"/>
      <c r="C7" s="70"/>
    </row>
    <row r="8" spans="1:3" ht="15.75">
      <c r="A8" s="70"/>
      <c r="B8" s="70"/>
      <c r="C8" s="70"/>
    </row>
    <row r="9" spans="1:4" ht="15.75">
      <c r="A9" s="597" t="s">
        <v>375</v>
      </c>
      <c r="B9" s="597"/>
      <c r="C9" s="597"/>
      <c r="D9" s="597"/>
    </row>
    <row r="10" spans="1:3" ht="15.75">
      <c r="A10" s="66"/>
      <c r="B10" s="66"/>
      <c r="C10" s="66"/>
    </row>
    <row r="11" spans="1:4" ht="23.25" customHeight="1">
      <c r="A11" s="82"/>
      <c r="B11" s="62"/>
      <c r="C11" s="62"/>
      <c r="D11" s="268" t="s">
        <v>269</v>
      </c>
    </row>
    <row r="12" spans="1:4" s="10" customFormat="1" ht="48.75" customHeight="1">
      <c r="A12" s="152" t="s">
        <v>30</v>
      </c>
      <c r="B12" s="154" t="s">
        <v>403</v>
      </c>
      <c r="C12" s="154" t="s">
        <v>404</v>
      </c>
      <c r="D12" s="153" t="s">
        <v>405</v>
      </c>
    </row>
    <row r="13" spans="1:4" s="11" customFormat="1" ht="26.25" customHeight="1">
      <c r="A13" s="273" t="s">
        <v>406</v>
      </c>
      <c r="B13" s="274">
        <v>16043</v>
      </c>
      <c r="C13" s="275">
        <v>0</v>
      </c>
      <c r="D13" s="275">
        <v>0</v>
      </c>
    </row>
    <row r="14" spans="1:4" ht="36.75" customHeight="1">
      <c r="A14" s="272" t="s">
        <v>376</v>
      </c>
      <c r="B14" s="276"/>
      <c r="C14" s="277">
        <v>9483</v>
      </c>
      <c r="D14" s="278">
        <v>8694</v>
      </c>
    </row>
    <row r="15" spans="1:4" ht="33.75" customHeight="1">
      <c r="A15" s="270" t="s">
        <v>374</v>
      </c>
      <c r="B15" s="271"/>
      <c r="C15" s="271">
        <v>56725</v>
      </c>
      <c r="D15" s="269">
        <v>56684</v>
      </c>
    </row>
    <row r="16" spans="1:4" ht="50.25" customHeight="1">
      <c r="A16" s="279" t="s">
        <v>25</v>
      </c>
      <c r="B16" s="280">
        <f>SUM(B13:B15)</f>
        <v>16043</v>
      </c>
      <c r="C16" s="280">
        <f>SUM(C14:C15)</f>
        <v>66208</v>
      </c>
      <c r="D16" s="280">
        <f>SUM(D14:D15)</f>
        <v>65378</v>
      </c>
    </row>
    <row r="17" s="12" customFormat="1" ht="39" customHeight="1">
      <c r="A17" s="84"/>
    </row>
  </sheetData>
  <sheetProtection/>
  <mergeCells count="4">
    <mergeCell ref="B1:D1"/>
    <mergeCell ref="A4:D4"/>
    <mergeCell ref="A5:D5"/>
    <mergeCell ref="A9:D9"/>
  </mergeCells>
  <printOptions horizontalCentered="1"/>
  <pageMargins left="0.7874015748031497" right="0.1968503937007874" top="1.1811023622047245" bottom="0.984251968503937" header="0.3937007874015748" footer="0.7874015748031497"/>
  <pageSetup horizontalDpi="300" verticalDpi="300" orientation="portrait" paperSize="9" scale="95" r:id="rId1"/>
  <headerFooter alignWithMargins="0">
    <oddHeader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2:E28"/>
  <sheetViews>
    <sheetView zoomScalePageLayoutView="0" workbookViewId="0" topLeftCell="A19">
      <selection activeCell="G6" sqref="G6"/>
    </sheetView>
  </sheetViews>
  <sheetFormatPr defaultColWidth="9.00390625" defaultRowHeight="12.75"/>
  <cols>
    <col min="1" max="1" width="4.125" style="0" bestFit="1" customWidth="1"/>
    <col min="2" max="2" width="62.00390625" style="0" bestFit="1" customWidth="1"/>
    <col min="3" max="5" width="13.50390625" style="0" bestFit="1" customWidth="1"/>
  </cols>
  <sheetData>
    <row r="2" spans="3:5" ht="14.25" customHeight="1">
      <c r="C2" s="433" t="s">
        <v>274</v>
      </c>
      <c r="D2" s="433"/>
      <c r="E2" s="433"/>
    </row>
    <row r="3" spans="3:5" ht="14.25" customHeight="1">
      <c r="C3" s="236"/>
      <c r="D3" s="236"/>
      <c r="E3" s="236"/>
    </row>
    <row r="4" spans="3:5" ht="14.25" customHeight="1">
      <c r="C4" s="236"/>
      <c r="D4" s="236"/>
      <c r="E4" s="236"/>
    </row>
    <row r="5" spans="3:5" ht="14.25" customHeight="1">
      <c r="C5" s="236"/>
      <c r="D5" s="236"/>
      <c r="E5" s="236"/>
    </row>
    <row r="7" spans="1:5" ht="15.75">
      <c r="A7" s="435" t="s">
        <v>79</v>
      </c>
      <c r="B7" s="435"/>
      <c r="C7" s="435"/>
      <c r="D7" s="435"/>
      <c r="E7" s="435"/>
    </row>
    <row r="8" spans="1:5" ht="15.75">
      <c r="A8" s="435" t="str">
        <f>'Felújítás 11.'!A5:C5</f>
        <v>2012. évi zárás</v>
      </c>
      <c r="B8" s="435"/>
      <c r="C8" s="435"/>
      <c r="D8" s="435"/>
      <c r="E8" s="435"/>
    </row>
    <row r="9" spans="1:5" ht="15.75">
      <c r="A9" s="70"/>
      <c r="B9" s="70"/>
      <c r="C9" s="70"/>
      <c r="D9" s="70"/>
      <c r="E9" s="70"/>
    </row>
    <row r="10" spans="1:5" ht="15.75">
      <c r="A10" s="435" t="s">
        <v>398</v>
      </c>
      <c r="B10" s="435"/>
      <c r="C10" s="435"/>
      <c r="D10" s="435"/>
      <c r="E10" s="435"/>
    </row>
    <row r="11" spans="1:5" ht="15.75">
      <c r="A11" s="70"/>
      <c r="B11" s="70"/>
      <c r="C11" s="70"/>
      <c r="D11" s="70"/>
      <c r="E11" s="70"/>
    </row>
    <row r="12" spans="1:5" ht="15.75">
      <c r="A12" s="70"/>
      <c r="B12" s="70"/>
      <c r="C12" s="70"/>
      <c r="D12" s="70"/>
      <c r="E12" s="70"/>
    </row>
    <row r="13" spans="1:5" ht="15.75">
      <c r="A13" s="70"/>
      <c r="B13" s="70"/>
      <c r="C13" s="70"/>
      <c r="D13" s="64"/>
      <c r="E13" s="281" t="s">
        <v>269</v>
      </c>
    </row>
    <row r="14" spans="1:5" ht="15.75" customHeight="1">
      <c r="A14" s="238"/>
      <c r="B14" s="610" t="s">
        <v>73</v>
      </c>
      <c r="C14" s="282" t="s">
        <v>364</v>
      </c>
      <c r="D14" s="282" t="s">
        <v>364</v>
      </c>
      <c r="E14" s="282" t="s">
        <v>364</v>
      </c>
    </row>
    <row r="15" spans="1:5" ht="15.75" customHeight="1">
      <c r="A15" s="239"/>
      <c r="B15" s="610"/>
      <c r="C15" s="283" t="s">
        <v>86</v>
      </c>
      <c r="D15" s="283" t="s">
        <v>86</v>
      </c>
      <c r="E15" s="283" t="s">
        <v>86</v>
      </c>
    </row>
    <row r="16" spans="1:5" ht="15.75" customHeight="1">
      <c r="A16" s="237"/>
      <c r="B16" s="610"/>
      <c r="C16" s="284" t="s">
        <v>158</v>
      </c>
      <c r="D16" s="284" t="s">
        <v>313</v>
      </c>
      <c r="E16" s="284" t="s">
        <v>345</v>
      </c>
    </row>
    <row r="17" spans="1:5" ht="25.5" customHeight="1">
      <c r="A17" s="237" t="s">
        <v>2</v>
      </c>
      <c r="B17" s="285" t="s">
        <v>293</v>
      </c>
      <c r="C17" s="286">
        <v>182</v>
      </c>
      <c r="D17" s="286"/>
      <c r="E17" s="286"/>
    </row>
    <row r="18" spans="1:5" ht="25.5" customHeight="1">
      <c r="A18" s="113" t="s">
        <v>3</v>
      </c>
      <c r="B18" s="285" t="s">
        <v>294</v>
      </c>
      <c r="C18" s="287">
        <v>99</v>
      </c>
      <c r="D18" s="287"/>
      <c r="E18" s="287"/>
    </row>
    <row r="19" spans="1:5" ht="25.5" customHeight="1">
      <c r="A19" s="113" t="s">
        <v>4</v>
      </c>
      <c r="B19" s="285" t="s">
        <v>355</v>
      </c>
      <c r="C19" s="287">
        <v>64</v>
      </c>
      <c r="D19" s="287">
        <v>64</v>
      </c>
      <c r="E19" s="287">
        <v>64</v>
      </c>
    </row>
    <row r="20" spans="1:5" ht="25.5" customHeight="1">
      <c r="A20" s="113" t="s">
        <v>5</v>
      </c>
      <c r="B20" s="285" t="s">
        <v>311</v>
      </c>
      <c r="C20" s="288">
        <v>673</v>
      </c>
      <c r="D20" s="288">
        <v>640</v>
      </c>
      <c r="E20" s="288"/>
    </row>
    <row r="21" spans="1:5" ht="25.5" customHeight="1">
      <c r="A21" s="113"/>
      <c r="B21" s="289" t="s">
        <v>263</v>
      </c>
      <c r="C21" s="289">
        <f>SUM(C17:C20)</f>
        <v>1018</v>
      </c>
      <c r="D21" s="289">
        <f>SUM(D17:D20)</f>
        <v>704</v>
      </c>
      <c r="E21" s="289">
        <f>SUM(E17:E20)</f>
        <v>64</v>
      </c>
    </row>
    <row r="22" spans="1:5" ht="25.5" customHeight="1">
      <c r="A22" s="92"/>
      <c r="B22" s="93"/>
      <c r="C22" s="93"/>
      <c r="D22" s="94"/>
      <c r="E22" s="94"/>
    </row>
    <row r="23" spans="1:5" ht="15.75" customHeight="1">
      <c r="A23" s="92"/>
      <c r="B23" s="93"/>
      <c r="C23" s="93"/>
      <c r="D23" s="94"/>
      <c r="E23" s="94"/>
    </row>
    <row r="24" spans="1:5" ht="31.5" customHeight="1">
      <c r="A24" s="92"/>
      <c r="B24" s="93"/>
      <c r="C24" s="93"/>
      <c r="D24" s="94"/>
      <c r="E24" s="94"/>
    </row>
    <row r="25" spans="1:5" ht="15.75" customHeight="1">
      <c r="A25" s="169"/>
      <c r="B25" s="169"/>
      <c r="C25" s="169"/>
      <c r="D25" s="169"/>
      <c r="E25" s="95"/>
    </row>
    <row r="26" spans="1:5" ht="15.75" customHeight="1">
      <c r="A26" s="96"/>
      <c r="B26" s="97"/>
      <c r="C26" s="93"/>
      <c r="D26" s="98"/>
      <c r="E26" s="98"/>
    </row>
    <row r="27" spans="1:5" ht="15.75" customHeight="1">
      <c r="A27" s="92"/>
      <c r="B27" s="93"/>
      <c r="C27" s="93"/>
      <c r="D27" s="94"/>
      <c r="E27" s="94"/>
    </row>
    <row r="28" spans="1:5" ht="15.75" customHeight="1">
      <c r="A28" s="92"/>
      <c r="B28" s="93"/>
      <c r="C28" s="93"/>
      <c r="D28" s="94"/>
      <c r="E28" s="94"/>
    </row>
  </sheetData>
  <sheetProtection/>
  <mergeCells count="5">
    <mergeCell ref="B14:B16"/>
    <mergeCell ref="C2:E2"/>
    <mergeCell ref="A7:E7"/>
    <mergeCell ref="A8:E8"/>
    <mergeCell ref="A10:E10"/>
  </mergeCells>
  <printOptions horizontalCentered="1"/>
  <pageMargins left="0.3937007874015748" right="0.3937007874015748" top="1.5748031496062993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26">
      <selection activeCell="C11" sqref="C11"/>
    </sheetView>
  </sheetViews>
  <sheetFormatPr defaultColWidth="9.00390625" defaultRowHeight="12.75"/>
  <cols>
    <col min="1" max="1" width="7.625" style="291" customWidth="1"/>
    <col min="2" max="2" width="74.00390625" style="291" bestFit="1" customWidth="1"/>
    <col min="3" max="3" width="18.50390625" style="291" bestFit="1" customWidth="1"/>
    <col min="4" max="4" width="13.50390625" style="291" bestFit="1" customWidth="1"/>
    <col min="5" max="5" width="42.875" style="291" customWidth="1"/>
    <col min="6" max="8" width="9.375" style="291" customWidth="1"/>
    <col min="9" max="9" width="18.125" style="291" bestFit="1" customWidth="1"/>
    <col min="10" max="16384" width="9.375" style="291" customWidth="1"/>
  </cols>
  <sheetData>
    <row r="1" spans="1:9" ht="12.75">
      <c r="A1" s="611"/>
      <c r="B1" s="611"/>
      <c r="C1" s="611"/>
      <c r="D1" s="611"/>
      <c r="E1" s="290"/>
      <c r="F1" s="290"/>
      <c r="G1" s="290"/>
      <c r="H1" s="290"/>
      <c r="I1" s="290"/>
    </row>
    <row r="6" spans="1:4" ht="12.75">
      <c r="A6" s="612"/>
      <c r="B6" s="613"/>
      <c r="C6" s="614" t="s">
        <v>478</v>
      </c>
      <c r="D6" s="614"/>
    </row>
    <row r="7" spans="1:4" ht="12.75">
      <c r="A7" s="615" t="s">
        <v>77</v>
      </c>
      <c r="B7" s="615"/>
      <c r="C7" s="615"/>
      <c r="D7" s="615"/>
    </row>
    <row r="8" spans="1:4" ht="12.75">
      <c r="A8" s="615" t="s">
        <v>456</v>
      </c>
      <c r="B8" s="615"/>
      <c r="C8" s="615"/>
      <c r="D8" s="615"/>
    </row>
    <row r="9" spans="1:4" ht="12.75">
      <c r="A9" s="616" t="s">
        <v>412</v>
      </c>
      <c r="B9" s="616"/>
      <c r="C9" s="616"/>
      <c r="D9" s="616"/>
    </row>
    <row r="10" spans="1:4" ht="12.75">
      <c r="A10" s="292"/>
      <c r="B10" s="292"/>
      <c r="C10" s="292"/>
      <c r="D10" s="292"/>
    </row>
    <row r="11" spans="1:4" ht="12.75">
      <c r="A11" s="292"/>
      <c r="B11" s="292"/>
      <c r="C11" s="292"/>
      <c r="D11" s="292"/>
    </row>
    <row r="12" spans="1:4" ht="12.75">
      <c r="A12" s="292"/>
      <c r="B12" s="292"/>
      <c r="C12" s="292"/>
      <c r="D12" s="292"/>
    </row>
    <row r="13" ht="12.75">
      <c r="C13" s="293"/>
    </row>
    <row r="14" spans="1:4" s="296" customFormat="1" ht="25.5">
      <c r="A14" s="294" t="s">
        <v>0</v>
      </c>
      <c r="B14" s="295" t="s">
        <v>20</v>
      </c>
      <c r="C14" s="617" t="s">
        <v>485</v>
      </c>
      <c r="D14" s="617"/>
    </row>
    <row r="15" spans="1:4" ht="25.5">
      <c r="A15" s="297" t="s">
        <v>2</v>
      </c>
      <c r="B15" s="298" t="s">
        <v>457</v>
      </c>
      <c r="C15" s="618">
        <f>SUM(C16)</f>
        <v>21153</v>
      </c>
      <c r="D15" s="618"/>
    </row>
    <row r="16" spans="1:4" ht="12.75">
      <c r="A16" s="297" t="s">
        <v>3</v>
      </c>
      <c r="B16" s="299" t="s">
        <v>413</v>
      </c>
      <c r="C16" s="619">
        <v>21153</v>
      </c>
      <c r="D16" s="619"/>
    </row>
    <row r="17" spans="1:4" ht="12.75">
      <c r="A17" s="297" t="s">
        <v>4</v>
      </c>
      <c r="B17" s="299" t="s">
        <v>414</v>
      </c>
      <c r="C17" s="619"/>
      <c r="D17" s="619"/>
    </row>
    <row r="18" spans="1:4" ht="12.75">
      <c r="A18" s="297" t="s">
        <v>5</v>
      </c>
      <c r="B18" s="300" t="s">
        <v>415</v>
      </c>
      <c r="C18" s="619">
        <v>237358</v>
      </c>
      <c r="D18" s="619"/>
    </row>
    <row r="19" spans="1:4" ht="12.75">
      <c r="A19" s="297" t="s">
        <v>6</v>
      </c>
      <c r="B19" s="300" t="s">
        <v>416</v>
      </c>
      <c r="C19" s="619">
        <v>245682</v>
      </c>
      <c r="D19" s="619"/>
    </row>
    <row r="20" spans="1:4" ht="25.5">
      <c r="A20" s="297" t="s">
        <v>7</v>
      </c>
      <c r="B20" s="298" t="s">
        <v>483</v>
      </c>
      <c r="C20" s="623">
        <f>C15+C18-C19</f>
        <v>12829</v>
      </c>
      <c r="D20" s="623"/>
    </row>
    <row r="21" spans="1:4" ht="12.75">
      <c r="A21" s="297" t="s">
        <v>8</v>
      </c>
      <c r="B21" s="299" t="s">
        <v>413</v>
      </c>
      <c r="C21" s="619">
        <f>C20</f>
        <v>12829</v>
      </c>
      <c r="D21" s="619"/>
    </row>
    <row r="22" spans="1:4" ht="12.75">
      <c r="A22" s="297" t="s">
        <v>9</v>
      </c>
      <c r="B22" s="299" t="s">
        <v>414</v>
      </c>
      <c r="C22" s="619"/>
      <c r="D22" s="619"/>
    </row>
    <row r="26" spans="1:4" ht="12.75">
      <c r="A26" s="301"/>
      <c r="B26" s="301"/>
      <c r="C26" s="624" t="s">
        <v>479</v>
      </c>
      <c r="D26" s="624"/>
    </row>
    <row r="27" spans="1:4" ht="12.75">
      <c r="A27" s="620" t="s">
        <v>417</v>
      </c>
      <c r="B27" s="620"/>
      <c r="C27" s="620"/>
      <c r="D27" s="620"/>
    </row>
    <row r="28" spans="1:4" ht="12.75">
      <c r="A28" s="621" t="s">
        <v>458</v>
      </c>
      <c r="B28" s="621"/>
      <c r="C28" s="621"/>
      <c r="D28" s="621"/>
    </row>
    <row r="29" spans="1:4" ht="12.75">
      <c r="A29" s="302"/>
      <c r="B29" s="302"/>
      <c r="C29" s="302"/>
      <c r="D29" s="302"/>
    </row>
    <row r="30" spans="1:4" ht="12.75">
      <c r="A30" s="302"/>
      <c r="B30" s="302"/>
      <c r="C30" s="302"/>
      <c r="D30" s="302"/>
    </row>
    <row r="31" spans="1:4" ht="12.75">
      <c r="A31" s="302"/>
      <c r="B31" s="302"/>
      <c r="C31" s="302"/>
      <c r="D31" s="302"/>
    </row>
    <row r="32" spans="1:4" ht="12.75">
      <c r="A32" s="622" t="s">
        <v>484</v>
      </c>
      <c r="B32" s="622"/>
      <c r="C32" s="622"/>
      <c r="D32" s="622"/>
    </row>
    <row r="33" spans="1:4" ht="27">
      <c r="A33" s="303" t="s">
        <v>0</v>
      </c>
      <c r="B33" s="304" t="s">
        <v>20</v>
      </c>
      <c r="C33" s="305" t="s">
        <v>418</v>
      </c>
      <c r="D33" s="306" t="s">
        <v>419</v>
      </c>
    </row>
    <row r="34" spans="1:4" ht="12.75">
      <c r="A34" s="307" t="s">
        <v>2</v>
      </c>
      <c r="B34" s="308" t="s">
        <v>420</v>
      </c>
      <c r="C34" s="309">
        <v>21153</v>
      </c>
      <c r="D34" s="309">
        <v>12829</v>
      </c>
    </row>
    <row r="35" spans="1:4" ht="24">
      <c r="A35" s="307" t="s">
        <v>3</v>
      </c>
      <c r="B35" s="310" t="s">
        <v>421</v>
      </c>
      <c r="C35" s="309">
        <v>988</v>
      </c>
      <c r="D35" s="309">
        <v>496</v>
      </c>
    </row>
    <row r="36" spans="1:4" ht="12.75">
      <c r="A36" s="307" t="s">
        <v>4</v>
      </c>
      <c r="B36" s="310" t="s">
        <v>422</v>
      </c>
      <c r="C36" s="311"/>
      <c r="D36" s="311"/>
    </row>
    <row r="37" spans="1:4" ht="12.75">
      <c r="A37" s="307" t="s">
        <v>5</v>
      </c>
      <c r="B37" s="310" t="s">
        <v>423</v>
      </c>
      <c r="C37" s="311"/>
      <c r="D37" s="311"/>
    </row>
    <row r="38" spans="1:4" ht="12.75">
      <c r="A38" s="307" t="s">
        <v>6</v>
      </c>
      <c r="B38" s="312" t="s">
        <v>424</v>
      </c>
      <c r="C38" s="313">
        <f>C34+C35-C36-C37</f>
        <v>22141</v>
      </c>
      <c r="D38" s="313">
        <f>D34+D35-D36-D37</f>
        <v>13325</v>
      </c>
    </row>
    <row r="39" spans="1:5" ht="12.75">
      <c r="A39" s="307" t="s">
        <v>7</v>
      </c>
      <c r="B39" s="310" t="s">
        <v>425</v>
      </c>
      <c r="C39" s="314"/>
      <c r="D39" s="314"/>
      <c r="E39" s="315"/>
    </row>
    <row r="40" spans="1:5" ht="12.75">
      <c r="A40" s="307" t="s">
        <v>8</v>
      </c>
      <c r="B40" s="310" t="s">
        <v>426</v>
      </c>
      <c r="C40" s="316">
        <v>0</v>
      </c>
      <c r="D40" s="316">
        <v>0</v>
      </c>
      <c r="E40" s="315"/>
    </row>
    <row r="41" spans="1:4" ht="22.5">
      <c r="A41" s="307" t="s">
        <v>9</v>
      </c>
      <c r="B41" s="317" t="s">
        <v>427</v>
      </c>
      <c r="C41" s="311"/>
      <c r="D41" s="311"/>
    </row>
    <row r="42" spans="1:4" ht="12.75">
      <c r="A42" s="307" t="s">
        <v>10</v>
      </c>
      <c r="B42" s="318" t="s">
        <v>428</v>
      </c>
      <c r="C42" s="311"/>
      <c r="D42" s="311"/>
    </row>
    <row r="43" spans="1:4" ht="18" customHeight="1">
      <c r="A43" s="307" t="s">
        <v>429</v>
      </c>
      <c r="B43" s="312" t="s">
        <v>430</v>
      </c>
      <c r="C43" s="319">
        <f>C38+C39+C40+C41+C42</f>
        <v>22141</v>
      </c>
      <c r="D43" s="319">
        <f>D38+D39+D40+D41+D42</f>
        <v>13325</v>
      </c>
    </row>
    <row r="44" spans="1:4" ht="12.75">
      <c r="A44" s="307" t="s">
        <v>431</v>
      </c>
      <c r="B44" s="320" t="s">
        <v>459</v>
      </c>
      <c r="C44" s="329">
        <f>C43</f>
        <v>22141</v>
      </c>
      <c r="D44" s="329">
        <f>D43</f>
        <v>13325</v>
      </c>
    </row>
    <row r="45" spans="1:15" ht="12.75">
      <c r="A45" s="307" t="s">
        <v>432</v>
      </c>
      <c r="B45" s="320"/>
      <c r="C45" s="321"/>
      <c r="D45" s="321"/>
      <c r="I45" s="322"/>
      <c r="J45" s="322"/>
      <c r="K45" s="322"/>
      <c r="L45" s="322"/>
      <c r="M45" s="322"/>
      <c r="N45" s="322"/>
      <c r="O45" s="322"/>
    </row>
    <row r="46" spans="1:4" ht="12.75">
      <c r="A46" s="307" t="s">
        <v>433</v>
      </c>
      <c r="B46" s="323" t="s">
        <v>461</v>
      </c>
      <c r="C46" s="329">
        <f>SUM(C47:C48)</f>
        <v>22141</v>
      </c>
      <c r="D46" s="329">
        <f>SUM(D47:D48)</f>
        <v>12000</v>
      </c>
    </row>
    <row r="47" spans="1:4" ht="12.75">
      <c r="A47" s="307" t="s">
        <v>434</v>
      </c>
      <c r="B47" s="324" t="s">
        <v>435</v>
      </c>
      <c r="C47" s="325">
        <v>10841</v>
      </c>
      <c r="D47" s="325">
        <v>12000</v>
      </c>
    </row>
    <row r="48" spans="1:4" ht="12.75">
      <c r="A48" s="307" t="s">
        <v>436</v>
      </c>
      <c r="B48" s="324" t="s">
        <v>460</v>
      </c>
      <c r="C48" s="325">
        <v>11300</v>
      </c>
      <c r="D48" s="325">
        <v>0</v>
      </c>
    </row>
    <row r="49" spans="1:4" s="328" customFormat="1" ht="12" customHeight="1">
      <c r="A49" s="307" t="s">
        <v>437</v>
      </c>
      <c r="B49" s="327"/>
      <c r="C49" s="311"/>
      <c r="D49" s="311"/>
    </row>
    <row r="50" spans="1:4" ht="12.75">
      <c r="A50" s="307" t="s">
        <v>438</v>
      </c>
      <c r="B50" s="326" t="s">
        <v>462</v>
      </c>
      <c r="C50" s="367">
        <f>C44-C46</f>
        <v>0</v>
      </c>
      <c r="D50" s="367">
        <f>D44-D46</f>
        <v>1325</v>
      </c>
    </row>
    <row r="51" spans="1:4" ht="12.75">
      <c r="A51" s="307" t="s">
        <v>439</v>
      </c>
      <c r="B51" s="326"/>
      <c r="C51" s="367"/>
      <c r="D51" s="367"/>
    </row>
    <row r="52" spans="1:4" ht="12.75">
      <c r="A52" s="307" t="s">
        <v>440</v>
      </c>
      <c r="B52" s="326" t="s">
        <v>463</v>
      </c>
      <c r="C52" s="367"/>
      <c r="D52" s="367">
        <v>1325</v>
      </c>
    </row>
    <row r="53" spans="1:4" ht="12.75">
      <c r="A53" s="307" t="s">
        <v>441</v>
      </c>
      <c r="B53" s="326"/>
      <c r="C53" s="367"/>
      <c r="D53" s="367"/>
    </row>
    <row r="54" spans="1:4" ht="12.75">
      <c r="A54" s="307" t="s">
        <v>442</v>
      </c>
      <c r="B54" s="326"/>
      <c r="C54" s="367"/>
      <c r="D54" s="367"/>
    </row>
    <row r="55" spans="1:4" ht="12.75">
      <c r="A55" s="307" t="s">
        <v>443</v>
      </c>
      <c r="B55" s="320"/>
      <c r="C55" s="329"/>
      <c r="D55" s="329"/>
    </row>
  </sheetData>
  <mergeCells count="19">
    <mergeCell ref="A27:D27"/>
    <mergeCell ref="A28:D28"/>
    <mergeCell ref="A32:D32"/>
    <mergeCell ref="C20:D20"/>
    <mergeCell ref="C21:D21"/>
    <mergeCell ref="C22:D22"/>
    <mergeCell ref="C26:D26"/>
    <mergeCell ref="C16:D16"/>
    <mergeCell ref="C17:D17"/>
    <mergeCell ref="C18:D18"/>
    <mergeCell ref="C19:D19"/>
    <mergeCell ref="A8:D8"/>
    <mergeCell ref="A9:D9"/>
    <mergeCell ref="C14:D14"/>
    <mergeCell ref="C15:D15"/>
    <mergeCell ref="A1:D1"/>
    <mergeCell ref="A6:B6"/>
    <mergeCell ref="C6:D6"/>
    <mergeCell ref="A7:D7"/>
  </mergeCells>
  <printOptions/>
  <pageMargins left="0.5905511811023623" right="0.1968503937007874" top="0.1968503937007874" bottom="0.1968503937007874" header="0.5118110236220472" footer="0.5118110236220472"/>
  <pageSetup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F10" sqref="F10"/>
    </sheetView>
  </sheetViews>
  <sheetFormatPr defaultColWidth="9.00390625" defaultRowHeight="12.75"/>
  <cols>
    <col min="1" max="1" width="5.875" style="331" customWidth="1"/>
    <col min="2" max="2" width="36.00390625" style="330" customWidth="1"/>
    <col min="3" max="4" width="17.625" style="330" customWidth="1"/>
    <col min="5" max="5" width="18.125" style="330" customWidth="1"/>
    <col min="6" max="16384" width="9.375" style="330" customWidth="1"/>
  </cols>
  <sheetData>
    <row r="1" spans="1:5" ht="12.75">
      <c r="A1" s="627"/>
      <c r="B1" s="627"/>
      <c r="C1" s="627"/>
      <c r="D1" s="627"/>
      <c r="E1" s="627"/>
    </row>
    <row r="3" spans="1:5" ht="25.5">
      <c r="A3" s="628"/>
      <c r="B3" s="628"/>
      <c r="C3" s="332"/>
      <c r="D3" s="332"/>
      <c r="E3" s="333" t="s">
        <v>480</v>
      </c>
    </row>
    <row r="4" spans="1:5" ht="12.75">
      <c r="A4" s="334"/>
      <c r="B4" s="335"/>
      <c r="E4" s="336"/>
    </row>
    <row r="5" spans="1:5" ht="12.75">
      <c r="A5" s="334"/>
      <c r="B5" s="335"/>
      <c r="E5" s="336"/>
    </row>
    <row r="7" spans="1:5" ht="15.75">
      <c r="A7" s="629" t="s">
        <v>464</v>
      </c>
      <c r="B7" s="629"/>
      <c r="C7" s="629"/>
      <c r="D7" s="629"/>
      <c r="E7" s="629"/>
    </row>
    <row r="8" spans="1:5" ht="15.75">
      <c r="A8" s="629" t="s">
        <v>444</v>
      </c>
      <c r="B8" s="629"/>
      <c r="C8" s="629"/>
      <c r="D8" s="629"/>
      <c r="E8" s="629"/>
    </row>
    <row r="13" spans="1:5" s="338" customFormat="1" ht="15">
      <c r="A13" s="337"/>
      <c r="D13" s="625" t="s">
        <v>486</v>
      </c>
      <c r="E13" s="625"/>
    </row>
    <row r="14" spans="1:5" s="341" customFormat="1" ht="48" customHeight="1">
      <c r="A14" s="339" t="s">
        <v>0</v>
      </c>
      <c r="B14" s="339" t="s">
        <v>1</v>
      </c>
      <c r="C14" s="339" t="s">
        <v>445</v>
      </c>
      <c r="D14" s="339" t="s">
        <v>446</v>
      </c>
      <c r="E14" s="340" t="s">
        <v>447</v>
      </c>
    </row>
    <row r="15" spans="1:5" s="341" customFormat="1" ht="13.5" customHeight="1">
      <c r="A15" s="342">
        <v>1</v>
      </c>
      <c r="B15" s="342">
        <v>2</v>
      </c>
      <c r="C15" s="342">
        <v>3</v>
      </c>
      <c r="D15" s="342">
        <v>4</v>
      </c>
      <c r="E15" s="340">
        <v>5</v>
      </c>
    </row>
    <row r="16" spans="1:5" ht="24" customHeight="1">
      <c r="A16" s="343" t="s">
        <v>2</v>
      </c>
      <c r="B16" s="368"/>
      <c r="C16" s="369"/>
      <c r="D16" s="369"/>
      <c r="E16" s="370"/>
    </row>
    <row r="17" spans="1:5" ht="24" customHeight="1">
      <c r="A17" s="343" t="s">
        <v>3</v>
      </c>
      <c r="B17" s="368"/>
      <c r="C17" s="369"/>
      <c r="D17" s="369"/>
      <c r="E17" s="370"/>
    </row>
    <row r="18" spans="1:5" ht="24" customHeight="1">
      <c r="A18" s="343" t="s">
        <v>4</v>
      </c>
      <c r="B18" s="368"/>
      <c r="C18" s="369"/>
      <c r="D18" s="369"/>
      <c r="E18" s="370"/>
    </row>
    <row r="19" spans="1:5" ht="24" customHeight="1">
      <c r="A19" s="343" t="s">
        <v>5</v>
      </c>
      <c r="B19" s="368"/>
      <c r="C19" s="369"/>
      <c r="D19" s="369"/>
      <c r="E19" s="370"/>
    </row>
    <row r="20" spans="1:5" ht="24" customHeight="1">
      <c r="A20" s="343" t="s">
        <v>6</v>
      </c>
      <c r="B20" s="368"/>
      <c r="C20" s="369"/>
      <c r="D20" s="369"/>
      <c r="E20" s="370"/>
    </row>
    <row r="21" spans="1:5" ht="24" customHeight="1">
      <c r="A21" s="343" t="s">
        <v>8</v>
      </c>
      <c r="B21" s="368"/>
      <c r="C21" s="369"/>
      <c r="D21" s="369" t="s">
        <v>448</v>
      </c>
      <c r="E21" s="370"/>
    </row>
    <row r="22" spans="1:5" ht="24" customHeight="1">
      <c r="A22" s="343" t="s">
        <v>9</v>
      </c>
      <c r="B22" s="368"/>
      <c r="C22" s="369"/>
      <c r="D22" s="369"/>
      <c r="E22" s="370"/>
    </row>
    <row r="23" spans="1:5" ht="24" customHeight="1">
      <c r="A23" s="343" t="s">
        <v>429</v>
      </c>
      <c r="B23" s="368"/>
      <c r="C23" s="369"/>
      <c r="D23" s="369"/>
      <c r="E23" s="370"/>
    </row>
    <row r="24" spans="1:5" ht="24" customHeight="1">
      <c r="A24" s="343" t="s">
        <v>431</v>
      </c>
      <c r="B24" s="368"/>
      <c r="C24" s="369"/>
      <c r="D24" s="369"/>
      <c r="E24" s="370"/>
    </row>
    <row r="25" spans="1:5" ht="24" customHeight="1">
      <c r="A25" s="343" t="s">
        <v>432</v>
      </c>
      <c r="B25" s="368"/>
      <c r="C25" s="369"/>
      <c r="D25" s="369"/>
      <c r="E25" s="370"/>
    </row>
    <row r="26" spans="1:5" ht="24" customHeight="1">
      <c r="A26" s="343" t="s">
        <v>433</v>
      </c>
      <c r="B26" s="368"/>
      <c r="C26" s="369"/>
      <c r="D26" s="369"/>
      <c r="E26" s="370"/>
    </row>
    <row r="27" spans="1:5" ht="24" customHeight="1">
      <c r="A27" s="343" t="s">
        <v>434</v>
      </c>
      <c r="B27" s="368"/>
      <c r="C27" s="369"/>
      <c r="D27" s="369"/>
      <c r="E27" s="370"/>
    </row>
    <row r="28" spans="1:5" ht="24" customHeight="1">
      <c r="A28" s="343">
        <v>15</v>
      </c>
      <c r="B28" s="368"/>
      <c r="C28" s="369"/>
      <c r="D28" s="369"/>
      <c r="E28" s="370"/>
    </row>
    <row r="29" spans="1:5" ht="24" customHeight="1">
      <c r="A29" s="344">
        <v>16</v>
      </c>
      <c r="B29" s="345" t="s">
        <v>14</v>
      </c>
      <c r="C29" s="346"/>
      <c r="D29" s="346"/>
      <c r="E29" s="346">
        <f>SUM(E16:E28)</f>
        <v>0</v>
      </c>
    </row>
    <row r="30" spans="1:4" ht="25.5" customHeight="1">
      <c r="A30" s="336"/>
      <c r="B30" s="626"/>
      <c r="C30" s="626"/>
      <c r="D30" s="626"/>
    </row>
  </sheetData>
  <mergeCells count="6">
    <mergeCell ref="D13:E13"/>
    <mergeCell ref="B30:D30"/>
    <mergeCell ref="A1:E1"/>
    <mergeCell ref="A3:B3"/>
    <mergeCell ref="A7:E7"/>
    <mergeCell ref="A8:E8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3">
      <selection activeCell="B8" sqref="B8"/>
    </sheetView>
  </sheetViews>
  <sheetFormatPr defaultColWidth="9.00390625" defaultRowHeight="12.75"/>
  <cols>
    <col min="1" max="1" width="6.875" style="9" customWidth="1"/>
    <col min="2" max="2" width="46.625" style="8" bestFit="1" customWidth="1"/>
    <col min="3" max="3" width="9.00390625" style="8" bestFit="1" customWidth="1"/>
    <col min="4" max="8" width="12.875" style="8" customWidth="1"/>
    <col min="9" max="9" width="13.875" style="8" customWidth="1"/>
    <col min="10" max="16384" width="9.375" style="8" customWidth="1"/>
  </cols>
  <sheetData>
    <row r="1" spans="1:9" ht="12.75">
      <c r="A1" s="627"/>
      <c r="B1" s="627"/>
      <c r="C1" s="627"/>
      <c r="D1" s="627"/>
      <c r="E1" s="627"/>
      <c r="F1" s="627"/>
      <c r="G1" s="627"/>
      <c r="H1" s="627"/>
      <c r="I1" s="627"/>
    </row>
    <row r="3" spans="1:9" ht="12.75">
      <c r="A3" s="628"/>
      <c r="B3" s="628"/>
      <c r="H3" s="630" t="s">
        <v>481</v>
      </c>
      <c r="I3" s="630"/>
    </row>
    <row r="4" spans="1:9" ht="12.75">
      <c r="A4" s="631" t="s">
        <v>77</v>
      </c>
      <c r="B4" s="631"/>
      <c r="C4" s="631"/>
      <c r="D4" s="631"/>
      <c r="E4" s="631"/>
      <c r="F4" s="631"/>
      <c r="G4" s="631"/>
      <c r="H4" s="631"/>
      <c r="I4" s="631"/>
    </row>
    <row r="5" spans="1:9" ht="12.75">
      <c r="A5" s="631" t="s">
        <v>482</v>
      </c>
      <c r="B5" s="631"/>
      <c r="C5" s="631"/>
      <c r="D5" s="631"/>
      <c r="E5" s="631"/>
      <c r="F5" s="631"/>
      <c r="G5" s="631"/>
      <c r="H5" s="631"/>
      <c r="I5" s="631"/>
    </row>
    <row r="6" spans="1:9" ht="12.75">
      <c r="A6" s="631" t="s">
        <v>449</v>
      </c>
      <c r="B6" s="631"/>
      <c r="C6" s="631"/>
      <c r="D6" s="631"/>
      <c r="E6" s="631"/>
      <c r="F6" s="631"/>
      <c r="G6" s="631"/>
      <c r="H6" s="631"/>
      <c r="I6" s="631"/>
    </row>
    <row r="7" spans="1:9" ht="12.75">
      <c r="A7" s="347"/>
      <c r="B7" s="347"/>
      <c r="C7" s="347"/>
      <c r="D7" s="347"/>
      <c r="E7" s="347"/>
      <c r="F7" s="347"/>
      <c r="G7" s="347"/>
      <c r="H7" s="347"/>
      <c r="I7" s="347"/>
    </row>
    <row r="8" ht="33.75" customHeight="1">
      <c r="I8" s="348" t="s">
        <v>487</v>
      </c>
    </row>
    <row r="9" spans="1:9" s="351" customFormat="1" ht="26.25" customHeight="1">
      <c r="A9" s="634" t="s">
        <v>31</v>
      </c>
      <c r="B9" s="635" t="s">
        <v>450</v>
      </c>
      <c r="C9" s="634" t="s">
        <v>451</v>
      </c>
      <c r="D9" s="634" t="s">
        <v>466</v>
      </c>
      <c r="E9" s="635" t="s">
        <v>452</v>
      </c>
      <c r="F9" s="635"/>
      <c r="G9" s="635"/>
      <c r="H9" s="635"/>
      <c r="I9" s="635" t="s">
        <v>13</v>
      </c>
    </row>
    <row r="10" spans="1:9" s="352" customFormat="1" ht="32.25" customHeight="1">
      <c r="A10" s="634"/>
      <c r="B10" s="635"/>
      <c r="C10" s="635"/>
      <c r="D10" s="634"/>
      <c r="E10" s="350">
        <v>2012</v>
      </c>
      <c r="F10" s="350">
        <v>2013</v>
      </c>
      <c r="G10" s="350">
        <v>2014</v>
      </c>
      <c r="H10" s="349">
        <v>2015</v>
      </c>
      <c r="I10" s="635"/>
    </row>
    <row r="11" spans="1:9" s="354" customFormat="1" ht="27.75" customHeight="1">
      <c r="A11" s="353">
        <v>1</v>
      </c>
      <c r="B11" s="353">
        <v>2</v>
      </c>
      <c r="C11" s="353">
        <v>3</v>
      </c>
      <c r="D11" s="353">
        <v>4</v>
      </c>
      <c r="E11" s="353">
        <v>5</v>
      </c>
      <c r="F11" s="353">
        <v>6</v>
      </c>
      <c r="G11" s="353">
        <v>7</v>
      </c>
      <c r="H11" s="353">
        <v>8</v>
      </c>
      <c r="I11" s="353" t="s">
        <v>453</v>
      </c>
    </row>
    <row r="12" spans="1:9" ht="27.75" customHeight="1">
      <c r="A12" s="353" t="s">
        <v>2</v>
      </c>
      <c r="B12" s="355" t="s">
        <v>454</v>
      </c>
      <c r="C12" s="356"/>
      <c r="D12" s="357">
        <f>SUM(D13:D14)</f>
        <v>0</v>
      </c>
      <c r="E12" s="357">
        <f>SUM(E13:E14)</f>
        <v>0</v>
      </c>
      <c r="F12" s="357">
        <f>SUM(F13:F14)</f>
        <v>0</v>
      </c>
      <c r="G12" s="357">
        <f>SUM(G13:G14)</f>
        <v>0</v>
      </c>
      <c r="H12" s="357">
        <f>SUM(H13:H14)</f>
        <v>0</v>
      </c>
      <c r="I12" s="358">
        <f aca="true" t="shared" si="0" ref="I12:I18">SUM(D12:H12)</f>
        <v>0</v>
      </c>
    </row>
    <row r="13" spans="1:9" ht="27.75" customHeight="1">
      <c r="A13" s="353" t="s">
        <v>3</v>
      </c>
      <c r="B13" s="359"/>
      <c r="C13" s="360"/>
      <c r="D13" s="361"/>
      <c r="E13" s="361"/>
      <c r="F13" s="361"/>
      <c r="G13" s="361"/>
      <c r="H13" s="361"/>
      <c r="I13" s="358"/>
    </row>
    <row r="14" spans="1:9" ht="27.75" customHeight="1">
      <c r="A14" s="353" t="s">
        <v>4</v>
      </c>
      <c r="B14" s="359"/>
      <c r="C14" s="360"/>
      <c r="D14" s="361"/>
      <c r="E14" s="361"/>
      <c r="F14" s="361"/>
      <c r="G14" s="361"/>
      <c r="H14" s="361"/>
      <c r="I14" s="358">
        <f t="shared" si="0"/>
        <v>0</v>
      </c>
    </row>
    <row r="15" spans="1:9" ht="27.75" customHeight="1">
      <c r="A15" s="353" t="s">
        <v>5</v>
      </c>
      <c r="B15" s="362" t="s">
        <v>468</v>
      </c>
      <c r="C15" s="363"/>
      <c r="D15" s="364">
        <f aca="true" t="shared" si="1" ref="D15:I15">SUM(D16:D18)</f>
        <v>0</v>
      </c>
      <c r="E15" s="364">
        <f t="shared" si="1"/>
        <v>19139</v>
      </c>
      <c r="F15" s="364">
        <f t="shared" si="1"/>
        <v>10706</v>
      </c>
      <c r="G15" s="364">
        <f t="shared" si="1"/>
        <v>0</v>
      </c>
      <c r="H15" s="364">
        <f t="shared" si="1"/>
        <v>0</v>
      </c>
      <c r="I15" s="364">
        <f t="shared" si="1"/>
        <v>29845</v>
      </c>
    </row>
    <row r="16" spans="1:9" ht="27.75" customHeight="1">
      <c r="A16" s="353" t="s">
        <v>6</v>
      </c>
      <c r="B16" s="359" t="s">
        <v>465</v>
      </c>
      <c r="C16" s="360">
        <v>2011</v>
      </c>
      <c r="D16" s="361">
        <v>0</v>
      </c>
      <c r="E16" s="361">
        <v>1500</v>
      </c>
      <c r="F16" s="361">
        <v>1500</v>
      </c>
      <c r="G16" s="361">
        <v>0</v>
      </c>
      <c r="H16" s="361"/>
      <c r="I16" s="358">
        <f>SUM(E16:H16)</f>
        <v>3000</v>
      </c>
    </row>
    <row r="17" spans="1:9" ht="27.75" customHeight="1">
      <c r="A17" s="353" t="s">
        <v>7</v>
      </c>
      <c r="B17" s="365" t="s">
        <v>467</v>
      </c>
      <c r="C17" s="360">
        <v>2012</v>
      </c>
      <c r="D17" s="361"/>
      <c r="E17" s="361">
        <v>17639</v>
      </c>
      <c r="F17" s="361">
        <v>9206</v>
      </c>
      <c r="G17" s="361"/>
      <c r="H17" s="361"/>
      <c r="I17" s="358">
        <f>SUM(D17:H17)</f>
        <v>26845</v>
      </c>
    </row>
    <row r="18" spans="1:9" ht="27.75" customHeight="1">
      <c r="A18" s="353" t="s">
        <v>8</v>
      </c>
      <c r="B18" s="365"/>
      <c r="C18" s="360"/>
      <c r="D18" s="361"/>
      <c r="E18" s="361"/>
      <c r="F18" s="361"/>
      <c r="G18" s="361"/>
      <c r="H18" s="361"/>
      <c r="I18" s="358">
        <f t="shared" si="0"/>
        <v>0</v>
      </c>
    </row>
    <row r="19" spans="1:9" ht="27.75" customHeight="1">
      <c r="A19" s="632" t="s">
        <v>455</v>
      </c>
      <c r="B19" s="632"/>
      <c r="C19" s="366"/>
      <c r="D19" s="364">
        <f aca="true" t="shared" si="2" ref="D19:I19">D15+D12</f>
        <v>0</v>
      </c>
      <c r="E19" s="364">
        <f t="shared" si="2"/>
        <v>19139</v>
      </c>
      <c r="F19" s="364">
        <f t="shared" si="2"/>
        <v>10706</v>
      </c>
      <c r="G19" s="364">
        <f t="shared" si="2"/>
        <v>0</v>
      </c>
      <c r="H19" s="364">
        <f t="shared" si="2"/>
        <v>0</v>
      </c>
      <c r="I19" s="364">
        <f t="shared" si="2"/>
        <v>29845</v>
      </c>
    </row>
    <row r="20" spans="6:8" ht="12.75">
      <c r="F20" s="633"/>
      <c r="G20" s="633"/>
      <c r="H20" s="633"/>
    </row>
  </sheetData>
  <mergeCells count="14">
    <mergeCell ref="A19:B19"/>
    <mergeCell ref="F20:H20"/>
    <mergeCell ref="A5:I5"/>
    <mergeCell ref="A6:I6"/>
    <mergeCell ref="A9:A10"/>
    <mergeCell ref="B9:B10"/>
    <mergeCell ref="C9:C10"/>
    <mergeCell ref="D9:D10"/>
    <mergeCell ref="E9:H9"/>
    <mergeCell ref="I9:I10"/>
    <mergeCell ref="A1:I1"/>
    <mergeCell ref="A3:B3"/>
    <mergeCell ref="H3:I3"/>
    <mergeCell ref="A4:I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8"/>
  <sheetViews>
    <sheetView tabSelected="1" view="pageLayout" workbookViewId="0" topLeftCell="A1">
      <selection activeCell="D65" sqref="D65"/>
    </sheetView>
  </sheetViews>
  <sheetFormatPr defaultColWidth="9.00390625" defaultRowHeight="12.75"/>
  <cols>
    <col min="1" max="1" width="6.625" style="0" bestFit="1" customWidth="1"/>
    <col min="2" max="2" width="51.125" style="0" customWidth="1"/>
    <col min="3" max="4" width="14.625" style="0" customWidth="1"/>
    <col min="5" max="5" width="16.00390625" style="0" customWidth="1"/>
  </cols>
  <sheetData>
    <row r="1" spans="1:5" ht="12.75">
      <c r="A1" s="425" t="s">
        <v>277</v>
      </c>
      <c r="B1" s="425"/>
      <c r="C1" s="425"/>
      <c r="D1" s="425"/>
      <c r="E1" s="425"/>
    </row>
    <row r="2" spans="1:5" ht="12.75">
      <c r="A2" s="118"/>
      <c r="B2" s="118"/>
      <c r="C2" s="118"/>
      <c r="D2" s="118"/>
      <c r="E2" s="104" t="s">
        <v>269</v>
      </c>
    </row>
    <row r="3" spans="1:5" ht="31.5">
      <c r="A3" s="172" t="s">
        <v>31</v>
      </c>
      <c r="B3" s="172" t="s">
        <v>1</v>
      </c>
      <c r="C3" s="172" t="s">
        <v>469</v>
      </c>
      <c r="D3" s="172" t="s">
        <v>307</v>
      </c>
      <c r="E3" s="172" t="s">
        <v>300</v>
      </c>
    </row>
    <row r="4" spans="1:5" ht="12.75">
      <c r="A4" s="210">
        <v>1</v>
      </c>
      <c r="B4" s="211">
        <v>2</v>
      </c>
      <c r="C4" s="211">
        <v>5</v>
      </c>
      <c r="D4" s="211">
        <v>6</v>
      </c>
      <c r="E4" s="172">
        <v>7</v>
      </c>
    </row>
    <row r="5" spans="1:5" ht="12.75">
      <c r="A5" s="119" t="s">
        <v>215</v>
      </c>
      <c r="B5" s="119" t="s">
        <v>247</v>
      </c>
      <c r="C5" s="122">
        <f>SUM(C6:C7)</f>
        <v>40782</v>
      </c>
      <c r="D5" s="122">
        <f>SUM(D6:D7)</f>
        <v>40783</v>
      </c>
      <c r="E5" s="122">
        <f>SUM(E6:E7)</f>
        <v>43291</v>
      </c>
    </row>
    <row r="6" spans="1:5" ht="12.75">
      <c r="A6" s="120">
        <v>1</v>
      </c>
      <c r="B6" s="120" t="s">
        <v>347</v>
      </c>
      <c r="C6" s="216">
        <v>2532</v>
      </c>
      <c r="D6" s="174">
        <v>2532</v>
      </c>
      <c r="E6" s="216">
        <v>2854</v>
      </c>
    </row>
    <row r="7" spans="1:5" ht="12.75">
      <c r="A7" s="120">
        <v>2</v>
      </c>
      <c r="B7" s="120" t="s">
        <v>224</v>
      </c>
      <c r="C7" s="173">
        <f>C8+C15</f>
        <v>38250</v>
      </c>
      <c r="D7" s="173">
        <f>D8+D15</f>
        <v>38251</v>
      </c>
      <c r="E7" s="173">
        <f>E8+E15+E9</f>
        <v>40437</v>
      </c>
    </row>
    <row r="8" spans="1:5" ht="12.75">
      <c r="A8" s="204"/>
      <c r="B8" s="120" t="s">
        <v>216</v>
      </c>
      <c r="C8" s="174">
        <f>SUM(C10:C14)</f>
        <v>17345</v>
      </c>
      <c r="D8" s="174">
        <f>SUM(D10:D14)</f>
        <v>17345</v>
      </c>
      <c r="E8" s="174">
        <f>SUM(E10:E14)</f>
        <v>19406</v>
      </c>
    </row>
    <row r="9" spans="1:5" ht="12.75">
      <c r="A9" s="204"/>
      <c r="B9" s="120" t="s">
        <v>346</v>
      </c>
      <c r="C9" s="174"/>
      <c r="D9" s="174"/>
      <c r="E9" s="174">
        <v>4</v>
      </c>
    </row>
    <row r="10" spans="1:5" ht="12.75">
      <c r="A10" s="204"/>
      <c r="B10" s="120" t="s">
        <v>178</v>
      </c>
      <c r="C10" s="174">
        <v>1510</v>
      </c>
      <c r="D10" s="174">
        <v>1510</v>
      </c>
      <c r="E10" s="174">
        <v>1548</v>
      </c>
    </row>
    <row r="11" spans="1:6" ht="12.75">
      <c r="A11" s="204"/>
      <c r="B11" s="121" t="s">
        <v>179</v>
      </c>
      <c r="C11" s="217">
        <v>15206</v>
      </c>
      <c r="D11" s="217">
        <v>15206</v>
      </c>
      <c r="E11" s="217">
        <v>17207</v>
      </c>
      <c r="F11" s="404"/>
    </row>
    <row r="12" spans="1:5" ht="12.75">
      <c r="A12" s="204"/>
      <c r="B12" s="121" t="s">
        <v>217</v>
      </c>
      <c r="C12" s="217">
        <v>328</v>
      </c>
      <c r="D12" s="217">
        <v>328</v>
      </c>
      <c r="E12" s="217">
        <v>302</v>
      </c>
    </row>
    <row r="13" spans="1:5" ht="12.75">
      <c r="A13" s="204"/>
      <c r="B13" s="121" t="s">
        <v>218</v>
      </c>
      <c r="C13" s="217">
        <v>248</v>
      </c>
      <c r="D13" s="217">
        <v>248</v>
      </c>
      <c r="E13" s="217">
        <v>234</v>
      </c>
    </row>
    <row r="14" spans="1:5" ht="12.75">
      <c r="A14" s="204"/>
      <c r="B14" s="121" t="s">
        <v>219</v>
      </c>
      <c r="C14" s="217">
        <v>53</v>
      </c>
      <c r="D14" s="217">
        <v>53</v>
      </c>
      <c r="E14" s="217">
        <v>115</v>
      </c>
    </row>
    <row r="15" spans="1:5" ht="12.75">
      <c r="A15" s="204"/>
      <c r="B15" s="121" t="s">
        <v>220</v>
      </c>
      <c r="C15" s="174">
        <f>SUM(C16:C17)</f>
        <v>20905</v>
      </c>
      <c r="D15" s="174">
        <f>SUM(D16:D17)</f>
        <v>20906</v>
      </c>
      <c r="E15" s="174">
        <f>SUM(E16:E17)</f>
        <v>21027</v>
      </c>
    </row>
    <row r="16" spans="1:5" ht="12.75">
      <c r="A16" s="204"/>
      <c r="B16" s="121" t="s">
        <v>221</v>
      </c>
      <c r="C16" s="217">
        <f>11765+2405</f>
        <v>14170</v>
      </c>
      <c r="D16" s="217">
        <f>11765+2405</f>
        <v>14170</v>
      </c>
      <c r="E16" s="217">
        <v>14170</v>
      </c>
    </row>
    <row r="17" spans="1:5" ht="12.75">
      <c r="A17" s="204"/>
      <c r="B17" s="121" t="s">
        <v>408</v>
      </c>
      <c r="C17" s="217">
        <v>6735</v>
      </c>
      <c r="D17" s="217">
        <v>6736</v>
      </c>
      <c r="E17" s="217">
        <v>6857</v>
      </c>
    </row>
    <row r="18" spans="1:5" ht="12.75">
      <c r="A18" s="119" t="s">
        <v>222</v>
      </c>
      <c r="B18" s="119" t="s">
        <v>250</v>
      </c>
      <c r="C18" s="122">
        <f>SUM(C20:C27)</f>
        <v>6567</v>
      </c>
      <c r="D18" s="122">
        <f>SUM(D20:D27)</f>
        <v>114176</v>
      </c>
      <c r="E18" s="122">
        <f>SUM(E20:E27)</f>
        <v>114176</v>
      </c>
    </row>
    <row r="19" spans="1:5" ht="12.75">
      <c r="A19" s="123" t="s">
        <v>2</v>
      </c>
      <c r="B19" s="123" t="s">
        <v>223</v>
      </c>
      <c r="C19" s="173"/>
      <c r="D19" s="173"/>
      <c r="E19" s="173"/>
    </row>
    <row r="20" spans="1:5" ht="12.75">
      <c r="A20" s="204"/>
      <c r="B20" s="121" t="s">
        <v>295</v>
      </c>
      <c r="C20" s="217">
        <v>6567</v>
      </c>
      <c r="D20" s="218">
        <f>6567-1</f>
        <v>6566</v>
      </c>
      <c r="E20" s="217">
        <v>6566</v>
      </c>
    </row>
    <row r="21" spans="1:5" ht="12.75">
      <c r="A21" s="204"/>
      <c r="B21" s="121" t="s">
        <v>301</v>
      </c>
      <c r="C21" s="217"/>
      <c r="D21" s="217">
        <v>2401</v>
      </c>
      <c r="E21" s="217">
        <v>2401</v>
      </c>
    </row>
    <row r="22" spans="1:5" ht="12.75">
      <c r="A22" s="204"/>
      <c r="B22" s="121" t="s">
        <v>303</v>
      </c>
      <c r="C22" s="217"/>
      <c r="D22" s="217">
        <v>69926</v>
      </c>
      <c r="E22" s="219">
        <v>69926</v>
      </c>
    </row>
    <row r="23" spans="1:5" ht="12.75">
      <c r="A23" s="204"/>
      <c r="B23" s="121" t="s">
        <v>304</v>
      </c>
      <c r="C23" s="217"/>
      <c r="D23" s="217">
        <v>8357</v>
      </c>
      <c r="E23" s="217">
        <v>8357</v>
      </c>
    </row>
    <row r="24" spans="1:5" ht="12.75">
      <c r="A24" s="204"/>
      <c r="B24" s="121" t="s">
        <v>302</v>
      </c>
      <c r="C24" s="217"/>
      <c r="D24" s="217">
        <v>11664</v>
      </c>
      <c r="E24" s="217">
        <v>11664</v>
      </c>
    </row>
    <row r="25" spans="1:5" ht="12.75">
      <c r="A25" s="204"/>
      <c r="B25" s="121" t="s">
        <v>360</v>
      </c>
      <c r="C25" s="217"/>
      <c r="D25" s="217">
        <f>8330+6749</f>
        <v>15079</v>
      </c>
      <c r="E25" s="217">
        <v>15079</v>
      </c>
    </row>
    <row r="26" spans="1:5" ht="12.75">
      <c r="A26" s="204"/>
      <c r="B26" s="121" t="s">
        <v>369</v>
      </c>
      <c r="C26" s="217"/>
      <c r="D26" s="217">
        <v>181</v>
      </c>
      <c r="E26" s="217">
        <v>181</v>
      </c>
    </row>
    <row r="27" spans="1:5" ht="12.75">
      <c r="A27" s="204"/>
      <c r="B27" s="121" t="s">
        <v>336</v>
      </c>
      <c r="C27" s="217"/>
      <c r="D27" s="218">
        <v>2</v>
      </c>
      <c r="E27" s="217">
        <v>2</v>
      </c>
    </row>
    <row r="28" spans="1:5" ht="12.75">
      <c r="A28" s="119" t="s">
        <v>229</v>
      </c>
      <c r="B28" s="119" t="s">
        <v>226</v>
      </c>
      <c r="C28" s="122">
        <f>SUM(C29:C29)</f>
        <v>5000</v>
      </c>
      <c r="D28" s="122">
        <f>SUM(D29:D29)</f>
        <v>162</v>
      </c>
      <c r="E28" s="122">
        <f>SUM(E29:E29)</f>
        <v>162</v>
      </c>
    </row>
    <row r="29" spans="1:5" ht="12.75">
      <c r="A29" s="204"/>
      <c r="B29" s="121" t="s">
        <v>180</v>
      </c>
      <c r="C29" s="219">
        <v>5000</v>
      </c>
      <c r="D29" s="217">
        <v>162</v>
      </c>
      <c r="E29" s="217">
        <v>162</v>
      </c>
    </row>
    <row r="30" spans="1:5" ht="12.75">
      <c r="A30" s="119" t="s">
        <v>225</v>
      </c>
      <c r="B30" s="119" t="s">
        <v>248</v>
      </c>
      <c r="C30" s="122">
        <f>SUM(C38+C31)</f>
        <v>8695</v>
      </c>
      <c r="D30" s="122">
        <f>SUM(D38+D31)</f>
        <v>52852</v>
      </c>
      <c r="E30" s="122">
        <f>SUM(E38+E31)</f>
        <v>52852</v>
      </c>
    </row>
    <row r="31" spans="1:5" ht="12.75">
      <c r="A31" s="204" t="s">
        <v>2</v>
      </c>
      <c r="B31" s="124" t="s">
        <v>252</v>
      </c>
      <c r="C31" s="220">
        <f>SUM(C32:C37)</f>
        <v>0</v>
      </c>
      <c r="D31" s="220">
        <f>SUM(D32:D37)</f>
        <v>8869</v>
      </c>
      <c r="E31" s="220">
        <f>SUM(E32:E37)</f>
        <v>8869</v>
      </c>
    </row>
    <row r="32" spans="1:6" ht="12.75">
      <c r="A32" s="204"/>
      <c r="B32" s="125" t="s">
        <v>338</v>
      </c>
      <c r="C32" s="217">
        <v>0</v>
      </c>
      <c r="D32" s="217">
        <v>88</v>
      </c>
      <c r="E32" s="217">
        <v>88</v>
      </c>
      <c r="F32" s="371"/>
    </row>
    <row r="33" spans="1:6" ht="12.75">
      <c r="A33" s="204"/>
      <c r="B33" s="125" t="s">
        <v>387</v>
      </c>
      <c r="C33" s="217"/>
      <c r="D33" s="217">
        <v>300</v>
      </c>
      <c r="E33" s="217">
        <v>300</v>
      </c>
      <c r="F33" s="371"/>
    </row>
    <row r="34" spans="1:6" ht="12.75">
      <c r="A34" s="204"/>
      <c r="B34" s="125" t="s">
        <v>388</v>
      </c>
      <c r="C34" s="217"/>
      <c r="D34" s="217">
        <v>139</v>
      </c>
      <c r="E34" s="217">
        <v>139</v>
      </c>
      <c r="F34" s="371"/>
    </row>
    <row r="35" spans="1:6" ht="12.75">
      <c r="A35" s="204"/>
      <c r="B35" s="125" t="s">
        <v>298</v>
      </c>
      <c r="C35" s="217"/>
      <c r="D35" s="218">
        <v>1598</v>
      </c>
      <c r="E35" s="218">
        <v>1598</v>
      </c>
      <c r="F35" s="371"/>
    </row>
    <row r="36" spans="1:6" ht="12.75">
      <c r="A36" s="204"/>
      <c r="B36" s="125" t="s">
        <v>299</v>
      </c>
      <c r="C36" s="217"/>
      <c r="D36" s="217">
        <v>3049</v>
      </c>
      <c r="E36" s="217">
        <v>3049</v>
      </c>
      <c r="F36" s="371"/>
    </row>
    <row r="37" spans="1:5" ht="22.5">
      <c r="A37" s="204"/>
      <c r="B37" s="124" t="s">
        <v>251</v>
      </c>
      <c r="C37" s="217"/>
      <c r="D37" s="217">
        <f>720+2975</f>
        <v>3695</v>
      </c>
      <c r="E37" s="217">
        <f>720+2975</f>
        <v>3695</v>
      </c>
    </row>
    <row r="38" spans="1:5" ht="12.75">
      <c r="A38" s="221" t="s">
        <v>3</v>
      </c>
      <c r="B38" s="126" t="s">
        <v>249</v>
      </c>
      <c r="C38" s="212">
        <f>SUM(C39:C43)</f>
        <v>8695</v>
      </c>
      <c r="D38" s="212">
        <f>SUM(D39:D43)</f>
        <v>43983</v>
      </c>
      <c r="E38" s="212">
        <f>SUM(E39:E43)</f>
        <v>43983</v>
      </c>
    </row>
    <row r="39" spans="1:5" ht="12.75">
      <c r="A39" s="204"/>
      <c r="B39" s="124" t="s">
        <v>337</v>
      </c>
      <c r="C39" s="222"/>
      <c r="D39" s="222">
        <v>1638</v>
      </c>
      <c r="E39" s="223">
        <v>1638</v>
      </c>
    </row>
    <row r="40" spans="1:5" ht="12.75">
      <c r="A40" s="204"/>
      <c r="B40" s="124" t="s">
        <v>297</v>
      </c>
      <c r="C40" s="222"/>
      <c r="D40" s="222">
        <f>12888+11818+17639</f>
        <v>42345</v>
      </c>
      <c r="E40" s="222">
        <v>42345</v>
      </c>
    </row>
    <row r="41" spans="1:5" ht="12.75">
      <c r="A41" s="204"/>
      <c r="B41" s="124" t="s">
        <v>371</v>
      </c>
      <c r="C41" s="224">
        <v>5000</v>
      </c>
      <c r="D41" s="225"/>
      <c r="E41" s="224">
        <v>0</v>
      </c>
    </row>
    <row r="42" spans="1:5" ht="12.75">
      <c r="A42" s="204"/>
      <c r="B42" s="124" t="s">
        <v>227</v>
      </c>
      <c r="C42" s="225">
        <v>2975</v>
      </c>
      <c r="D42" s="225"/>
      <c r="E42" s="224"/>
    </row>
    <row r="43" spans="1:5" ht="12.75">
      <c r="A43" s="204"/>
      <c r="B43" s="124"/>
      <c r="C43" s="225">
        <v>720</v>
      </c>
      <c r="D43" s="225"/>
      <c r="E43" s="224"/>
    </row>
    <row r="44" spans="1:5" ht="12.75">
      <c r="A44" s="119" t="s">
        <v>228</v>
      </c>
      <c r="B44" s="119" t="s">
        <v>182</v>
      </c>
      <c r="C44" s="213">
        <f>SUM(C45:C46)</f>
        <v>0</v>
      </c>
      <c r="D44" s="213">
        <f>SUM(D45:D46)</f>
        <v>0</v>
      </c>
      <c r="E44" s="213">
        <f>SUM(E45:E46)</f>
        <v>0</v>
      </c>
    </row>
    <row r="45" spans="1:5" ht="12.75">
      <c r="A45" s="123"/>
      <c r="B45" s="124" t="s">
        <v>230</v>
      </c>
      <c r="C45" s="226">
        <v>0</v>
      </c>
      <c r="D45" s="226">
        <v>0</v>
      </c>
      <c r="E45" s="226">
        <v>0</v>
      </c>
    </row>
    <row r="46" spans="1:5" ht="12.75">
      <c r="A46" s="204"/>
      <c r="B46" s="124" t="s">
        <v>231</v>
      </c>
      <c r="C46" s="222">
        <v>0</v>
      </c>
      <c r="D46" s="222">
        <v>0</v>
      </c>
      <c r="E46" s="222">
        <v>0</v>
      </c>
    </row>
    <row r="47" spans="1:5" ht="12.75">
      <c r="A47" s="119" t="s">
        <v>234</v>
      </c>
      <c r="B47" s="119" t="s">
        <v>245</v>
      </c>
      <c r="C47" s="214">
        <f>SUM(C48:C49)</f>
        <v>0</v>
      </c>
      <c r="D47" s="214">
        <f>SUM(D48:D49)</f>
        <v>0</v>
      </c>
      <c r="E47" s="214">
        <f>SUM(E48:E49)</f>
        <v>0</v>
      </c>
    </row>
    <row r="48" spans="1:5" ht="12.75">
      <c r="A48" s="204" t="s">
        <v>232</v>
      </c>
      <c r="B48" s="121" t="s">
        <v>266</v>
      </c>
      <c r="C48" s="225">
        <v>0</v>
      </c>
      <c r="D48" s="225">
        <v>0</v>
      </c>
      <c r="E48" s="225">
        <v>0</v>
      </c>
    </row>
    <row r="49" spans="1:5" ht="12.75">
      <c r="A49" s="204" t="s">
        <v>233</v>
      </c>
      <c r="B49" s="121" t="s">
        <v>268</v>
      </c>
      <c r="C49" s="225">
        <v>0</v>
      </c>
      <c r="D49" s="225">
        <v>0</v>
      </c>
      <c r="E49" s="225">
        <v>0</v>
      </c>
    </row>
    <row r="50" spans="1:5" ht="12.75">
      <c r="A50" s="119"/>
      <c r="B50" s="127" t="s">
        <v>246</v>
      </c>
      <c r="C50" s="213">
        <f>(C47+C44+C30+C28+C18+C5)</f>
        <v>61044</v>
      </c>
      <c r="D50" s="213">
        <f>(D47+D44+D30+D28+D18+D5)</f>
        <v>207973</v>
      </c>
      <c r="E50" s="213">
        <f>(E47+E44+E30+E28+E18+E5)</f>
        <v>210481</v>
      </c>
    </row>
    <row r="51" spans="1:5" ht="12.75">
      <c r="A51" s="227" t="s">
        <v>235</v>
      </c>
      <c r="B51" s="128" t="s">
        <v>236</v>
      </c>
      <c r="C51" s="214">
        <f>SUM(C52:C53)</f>
        <v>22141</v>
      </c>
      <c r="D51" s="214">
        <f>SUM(D52:D53)</f>
        <v>22141</v>
      </c>
      <c r="E51" s="214">
        <f>SUM(E52:E53)</f>
        <v>22142</v>
      </c>
    </row>
    <row r="52" spans="1:5" ht="12.75">
      <c r="A52" s="204" t="s">
        <v>2</v>
      </c>
      <c r="B52" s="129" t="s">
        <v>237</v>
      </c>
      <c r="C52" s="224">
        <v>10841</v>
      </c>
      <c r="D52" s="224">
        <v>10841</v>
      </c>
      <c r="E52" s="224">
        <v>10842</v>
      </c>
    </row>
    <row r="53" spans="1:5" ht="12.75">
      <c r="A53" s="204" t="s">
        <v>3</v>
      </c>
      <c r="B53" s="130" t="s">
        <v>238</v>
      </c>
      <c r="C53" s="224">
        <v>11300</v>
      </c>
      <c r="D53" s="224">
        <v>11300</v>
      </c>
      <c r="E53" s="224">
        <v>11300</v>
      </c>
    </row>
    <row r="54" spans="1:5" ht="21">
      <c r="A54" s="119" t="s">
        <v>239</v>
      </c>
      <c r="B54" s="119" t="s">
        <v>194</v>
      </c>
      <c r="C54" s="215"/>
      <c r="D54" s="215"/>
      <c r="E54" s="215"/>
    </row>
    <row r="55" spans="1:5" ht="12.75">
      <c r="A55" s="119" t="s">
        <v>244</v>
      </c>
      <c r="B55" s="119" t="s">
        <v>47</v>
      </c>
      <c r="C55" s="213">
        <f>C51+C50</f>
        <v>83185</v>
      </c>
      <c r="D55" s="213">
        <f>D51+D50</f>
        <v>230114</v>
      </c>
      <c r="E55" s="213">
        <f>E51+E50</f>
        <v>232623</v>
      </c>
    </row>
    <row r="56" spans="1:5" ht="12.75">
      <c r="A56" s="123" t="s">
        <v>2</v>
      </c>
      <c r="B56" s="123" t="s">
        <v>240</v>
      </c>
      <c r="C56" s="216">
        <f>SUM(C57)</f>
        <v>0</v>
      </c>
      <c r="D56" s="216">
        <f>SUM(D57)</f>
        <v>0</v>
      </c>
      <c r="E56" s="216">
        <f>SUM(E57)</f>
        <v>0</v>
      </c>
    </row>
    <row r="57" spans="1:5" ht="12.75">
      <c r="A57" s="123"/>
      <c r="B57" s="123" t="s">
        <v>241</v>
      </c>
      <c r="C57" s="216"/>
      <c r="D57" s="216"/>
      <c r="E57" s="216"/>
    </row>
    <row r="58" spans="1:5" ht="12.75">
      <c r="A58" s="123" t="s">
        <v>3</v>
      </c>
      <c r="B58" s="123" t="s">
        <v>242</v>
      </c>
      <c r="C58" s="216">
        <f>C59</f>
        <v>0</v>
      </c>
      <c r="D58" s="216">
        <f>D59</f>
        <v>26845</v>
      </c>
      <c r="E58" s="216">
        <f>E59</f>
        <v>26845</v>
      </c>
    </row>
    <row r="59" spans="1:5" ht="12.75">
      <c r="A59" s="123"/>
      <c r="B59" s="123" t="s">
        <v>243</v>
      </c>
      <c r="C59" s="216">
        <f>10000-10000</f>
        <v>0</v>
      </c>
      <c r="D59" s="216">
        <v>26845</v>
      </c>
      <c r="E59" s="216">
        <v>26845</v>
      </c>
    </row>
    <row r="60" spans="1:5" ht="12.75">
      <c r="A60" s="119" t="s">
        <v>244</v>
      </c>
      <c r="B60" s="119" t="s">
        <v>267</v>
      </c>
      <c r="C60" s="122">
        <f>C55+C56+C58</f>
        <v>83185</v>
      </c>
      <c r="D60" s="122">
        <f>D55+D56+D58</f>
        <v>256959</v>
      </c>
      <c r="E60" s="122">
        <f>E55+E56+E58</f>
        <v>259468</v>
      </c>
    </row>
    <row r="61" spans="1:5" ht="12.75">
      <c r="A61" s="130" t="s">
        <v>348</v>
      </c>
      <c r="B61" s="130" t="s">
        <v>350</v>
      </c>
      <c r="C61" s="130"/>
      <c r="D61" s="130"/>
      <c r="E61" s="146">
        <v>32</v>
      </c>
    </row>
    <row r="62" spans="1:5" ht="12.75">
      <c r="A62" s="159" t="s">
        <v>349</v>
      </c>
      <c r="B62" s="159" t="s">
        <v>351</v>
      </c>
      <c r="C62" s="160">
        <f>SUM(C60:C61)</f>
        <v>83185</v>
      </c>
      <c r="D62" s="160">
        <f>SUM(D60:D61)</f>
        <v>256959</v>
      </c>
      <c r="E62" s="160">
        <f>SUM(E60:E61)</f>
        <v>259500</v>
      </c>
    </row>
    <row r="63" spans="1:5" ht="12.75">
      <c r="A63" s="16"/>
      <c r="B63" s="16"/>
      <c r="C63" s="16"/>
      <c r="D63" s="16"/>
      <c r="E63" s="16"/>
    </row>
    <row r="64" spans="1:5" ht="12.75">
      <c r="A64" s="16"/>
      <c r="B64" s="16"/>
      <c r="C64" s="16"/>
      <c r="D64" s="16"/>
      <c r="E64" s="16"/>
    </row>
    <row r="65" spans="1:5" ht="12.75">
      <c r="A65" s="16"/>
      <c r="B65" s="16"/>
      <c r="C65" s="16"/>
      <c r="D65" s="170"/>
      <c r="E65" s="170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31"/>
      <c r="B69" s="131"/>
      <c r="C69" s="423"/>
      <c r="D69" s="423"/>
      <c r="E69" s="423"/>
    </row>
    <row r="70" spans="1:5" ht="12.75">
      <c r="A70" s="132"/>
      <c r="B70" s="133"/>
      <c r="C70" s="134"/>
      <c r="D70" s="134"/>
      <c r="E70" s="134"/>
    </row>
    <row r="71" spans="1:5" ht="12.75">
      <c r="A71" s="424" t="s">
        <v>11</v>
      </c>
      <c r="B71" s="424"/>
      <c r="C71" s="424"/>
      <c r="D71" s="424"/>
      <c r="E71" s="424"/>
    </row>
    <row r="72" spans="1:5" ht="12.75">
      <c r="A72" s="163"/>
      <c r="B72" s="163"/>
      <c r="C72" s="163"/>
      <c r="D72" s="163"/>
      <c r="E72" s="163"/>
    </row>
    <row r="73" spans="1:5" ht="12.75">
      <c r="A73" s="163"/>
      <c r="B73" s="163"/>
      <c r="C73" s="163"/>
      <c r="D73" s="163"/>
      <c r="E73" s="163"/>
    </row>
    <row r="74" spans="1:5" ht="12.75">
      <c r="A74" s="163"/>
      <c r="B74" s="163"/>
      <c r="C74" s="163"/>
      <c r="D74" s="163"/>
      <c r="E74" s="163"/>
    </row>
    <row r="75" spans="1:5" ht="12.75">
      <c r="A75" s="135"/>
      <c r="B75" s="135"/>
      <c r="C75" s="135"/>
      <c r="D75" s="203"/>
      <c r="E75" s="406" t="s">
        <v>269</v>
      </c>
    </row>
    <row r="76" spans="1:5" ht="31.5">
      <c r="A76" s="172" t="s">
        <v>0</v>
      </c>
      <c r="B76" s="172" t="s">
        <v>12</v>
      </c>
      <c r="C76" s="172" t="str">
        <f>C3</f>
        <v>2012. évi eredeti előirányzat</v>
      </c>
      <c r="D76" s="172" t="s">
        <v>307</v>
      </c>
      <c r="E76" s="172" t="s">
        <v>300</v>
      </c>
    </row>
    <row r="77" spans="1:5" ht="12.75">
      <c r="A77" s="172">
        <v>1</v>
      </c>
      <c r="B77" s="172">
        <v>2</v>
      </c>
      <c r="C77" s="172">
        <v>7</v>
      </c>
      <c r="D77" s="172">
        <v>6</v>
      </c>
      <c r="E77" s="172">
        <v>7</v>
      </c>
    </row>
    <row r="78" spans="1:5" ht="12.75">
      <c r="A78" s="119" t="s">
        <v>2</v>
      </c>
      <c r="B78" s="136" t="s">
        <v>70</v>
      </c>
      <c r="C78" s="138">
        <f>SUM(C79:C90)</f>
        <v>56786</v>
      </c>
      <c r="D78" s="138">
        <f>SUM(D79:D90)</f>
        <v>171306.78</v>
      </c>
      <c r="E78" s="138">
        <f>SUM(E79:E90)</f>
        <v>161385.48</v>
      </c>
    </row>
    <row r="79" spans="1:5" ht="12.75">
      <c r="A79" s="204" t="s">
        <v>48</v>
      </c>
      <c r="B79" s="121" t="s">
        <v>280</v>
      </c>
      <c r="C79" s="205">
        <f>7263</f>
        <v>7263</v>
      </c>
      <c r="D79" s="205">
        <f>'Személyi j. 4,5'!O24</f>
        <v>8689</v>
      </c>
      <c r="E79" s="205">
        <f>'Kiadások szakf. össz. 6-e'!C33</f>
        <v>8689</v>
      </c>
    </row>
    <row r="80" spans="1:5" ht="12.75">
      <c r="A80" s="204" t="s">
        <v>49</v>
      </c>
      <c r="B80" s="121" t="s">
        <v>281</v>
      </c>
      <c r="C80" s="205">
        <v>1788</v>
      </c>
      <c r="D80" s="205">
        <f>'Személyi j. 4,5'!O34</f>
        <v>1991.7800000000002</v>
      </c>
      <c r="E80" s="205">
        <f>'Személyi j. 4,5'!P34</f>
        <v>1955.48</v>
      </c>
    </row>
    <row r="81" spans="1:5" ht="12.75">
      <c r="A81" s="204" t="s">
        <v>50</v>
      </c>
      <c r="B81" s="121" t="s">
        <v>282</v>
      </c>
      <c r="C81" s="205">
        <v>24630</v>
      </c>
      <c r="D81" s="205">
        <f>'DOLOGI ÖSSZ 6'!O24-640</f>
        <v>134413</v>
      </c>
      <c r="E81" s="205">
        <f>'DOLOGI ÖSSZ 6'!P24-368</f>
        <v>127548</v>
      </c>
    </row>
    <row r="82" spans="1:5" ht="12.75">
      <c r="A82" s="204" t="s">
        <v>51</v>
      </c>
      <c r="B82" s="121" t="s">
        <v>37</v>
      </c>
      <c r="C82" s="205">
        <v>640</v>
      </c>
      <c r="D82" s="205">
        <v>640</v>
      </c>
      <c r="E82" s="206">
        <v>368</v>
      </c>
    </row>
    <row r="83" spans="1:5" ht="12.75">
      <c r="A83" s="204" t="s">
        <v>60</v>
      </c>
      <c r="B83" s="121" t="s">
        <v>71</v>
      </c>
      <c r="C83" s="205"/>
      <c r="D83" s="205"/>
      <c r="E83" s="206"/>
    </row>
    <row r="84" spans="1:5" ht="12.75">
      <c r="A84" s="204" t="s">
        <v>52</v>
      </c>
      <c r="B84" s="121" t="s">
        <v>283</v>
      </c>
      <c r="C84" s="205">
        <v>19607</v>
      </c>
      <c r="D84" s="205">
        <f>'Kiadások szakf. össz. 6-e'!T33</f>
        <v>19640</v>
      </c>
      <c r="E84" s="205">
        <f>'Kiadások szakf. össz. 6-e'!U33</f>
        <v>18345</v>
      </c>
    </row>
    <row r="85" spans="1:5" ht="12.75">
      <c r="A85" s="204" t="s">
        <v>53</v>
      </c>
      <c r="B85" s="137" t="s">
        <v>386</v>
      </c>
      <c r="C85" s="205">
        <v>1018</v>
      </c>
      <c r="D85" s="205">
        <v>704</v>
      </c>
      <c r="E85" s="205">
        <v>64</v>
      </c>
    </row>
    <row r="86" spans="1:5" ht="12.75">
      <c r="A86" s="204" t="s">
        <v>62</v>
      </c>
      <c r="B86" s="137" t="s">
        <v>363</v>
      </c>
      <c r="C86" s="205"/>
      <c r="D86" s="205">
        <v>281</v>
      </c>
      <c r="E86" s="205">
        <v>281</v>
      </c>
    </row>
    <row r="87" spans="1:5" ht="12.75">
      <c r="A87" s="204" t="s">
        <v>63</v>
      </c>
      <c r="B87" s="121" t="s">
        <v>284</v>
      </c>
      <c r="C87" s="205">
        <v>1840</v>
      </c>
      <c r="D87" s="205">
        <v>4948</v>
      </c>
      <c r="E87" s="205">
        <f>'Kiadások szakf. össz. 6-e'!X33</f>
        <v>4135</v>
      </c>
    </row>
    <row r="88" spans="1:5" ht="22.5">
      <c r="A88" s="204" t="s">
        <v>64</v>
      </c>
      <c r="B88" s="121" t="s">
        <v>214</v>
      </c>
      <c r="C88" s="205"/>
      <c r="D88" s="205"/>
      <c r="E88" s="205"/>
    </row>
    <row r="89" spans="1:5" ht="22.5">
      <c r="A89" s="204" t="s">
        <v>65</v>
      </c>
      <c r="B89" s="121" t="s">
        <v>61</v>
      </c>
      <c r="C89" s="205"/>
      <c r="D89" s="205"/>
      <c r="E89" s="205"/>
    </row>
    <row r="90" spans="1:5" ht="22.5">
      <c r="A90" s="204" t="s">
        <v>67</v>
      </c>
      <c r="B90" s="121" t="s">
        <v>66</v>
      </c>
      <c r="C90" s="205"/>
      <c r="D90" s="205"/>
      <c r="E90" s="205"/>
    </row>
    <row r="91" spans="1:5" ht="12.75">
      <c r="A91" s="119" t="s">
        <v>3</v>
      </c>
      <c r="B91" s="136" t="s">
        <v>188</v>
      </c>
      <c r="C91" s="138">
        <f>SUM(C92:C93)</f>
        <v>23443</v>
      </c>
      <c r="D91" s="138">
        <f>SUM(D92:D97)</f>
        <v>66458</v>
      </c>
      <c r="E91" s="138">
        <f>SUM(E92:E97)</f>
        <v>65618</v>
      </c>
    </row>
    <row r="92" spans="1:5" ht="12.75">
      <c r="A92" s="204" t="s">
        <v>54</v>
      </c>
      <c r="B92" s="121" t="s">
        <v>278</v>
      </c>
      <c r="C92" s="205">
        <v>16043</v>
      </c>
      <c r="D92" s="205"/>
      <c r="E92" s="205"/>
    </row>
    <row r="93" spans="1:5" ht="12.75">
      <c r="A93" s="204" t="s">
        <v>55</v>
      </c>
      <c r="B93" s="121" t="s">
        <v>356</v>
      </c>
      <c r="C93" s="205">
        <v>7400</v>
      </c>
      <c r="D93" s="205">
        <f>7558+1925</f>
        <v>9483</v>
      </c>
      <c r="E93" s="205">
        <f>6939+1755</f>
        <v>8694</v>
      </c>
    </row>
    <row r="94" spans="1:5" ht="22.5">
      <c r="A94" s="204" t="s">
        <v>185</v>
      </c>
      <c r="B94" s="121" t="s">
        <v>357</v>
      </c>
      <c r="C94" s="205"/>
      <c r="D94" s="209">
        <f>56725-7788</f>
        <v>48937</v>
      </c>
      <c r="E94" s="209">
        <f>56684-7788</f>
        <v>48896</v>
      </c>
    </row>
    <row r="95" spans="1:5" ht="22.5">
      <c r="A95" s="204" t="s">
        <v>186</v>
      </c>
      <c r="B95" s="121" t="s">
        <v>358</v>
      </c>
      <c r="C95" s="205"/>
      <c r="D95" s="209">
        <f>6300+1488</f>
        <v>7788</v>
      </c>
      <c r="E95" s="209">
        <v>7788</v>
      </c>
    </row>
    <row r="96" spans="1:5" ht="12.75">
      <c r="A96" s="204" t="s">
        <v>187</v>
      </c>
      <c r="B96" s="121" t="s">
        <v>279</v>
      </c>
      <c r="C96" s="206"/>
      <c r="D96" s="205">
        <f>7400-1100+250-6300</f>
        <v>250</v>
      </c>
      <c r="E96" s="205">
        <v>240</v>
      </c>
    </row>
    <row r="97" spans="1:5" ht="22.5">
      <c r="A97" s="204" t="s">
        <v>359</v>
      </c>
      <c r="B97" s="121" t="s">
        <v>58</v>
      </c>
      <c r="C97" s="205"/>
      <c r="D97" s="205"/>
      <c r="E97" s="205"/>
    </row>
    <row r="98" spans="1:5" ht="12.75">
      <c r="A98" s="204" t="s">
        <v>186</v>
      </c>
      <c r="B98" s="121" t="s">
        <v>36</v>
      </c>
      <c r="C98" s="205"/>
      <c r="D98" s="205"/>
      <c r="E98" s="205"/>
    </row>
    <row r="99" spans="1:5" ht="12.75">
      <c r="A99" s="204" t="s">
        <v>187</v>
      </c>
      <c r="B99" s="121" t="s">
        <v>72</v>
      </c>
      <c r="C99" s="205"/>
      <c r="D99" s="205"/>
      <c r="E99" s="205"/>
    </row>
    <row r="100" spans="1:5" ht="12.75">
      <c r="A100" s="119" t="s">
        <v>4</v>
      </c>
      <c r="B100" s="136" t="s">
        <v>75</v>
      </c>
      <c r="C100" s="138">
        <f>SUM(C104+C101)</f>
        <v>1456</v>
      </c>
      <c r="D100" s="138">
        <f>SUM(D104+D101)</f>
        <v>55</v>
      </c>
      <c r="E100" s="138">
        <f>SUM(E104+E101)</f>
        <v>0</v>
      </c>
    </row>
    <row r="101" spans="1:5" ht="12.75">
      <c r="A101" s="207" t="s">
        <v>43</v>
      </c>
      <c r="B101" s="138" t="s">
        <v>17</v>
      </c>
      <c r="C101" s="138">
        <f>SUM(C102:C103)</f>
        <v>1456</v>
      </c>
      <c r="D101" s="138">
        <f>SUM(D102:D103)</f>
        <v>55</v>
      </c>
      <c r="E101" s="138">
        <f>SUM(E102:E103)</f>
        <v>0</v>
      </c>
    </row>
    <row r="102" spans="1:5" ht="12.75">
      <c r="A102" s="204"/>
      <c r="B102" s="139" t="s">
        <v>257</v>
      </c>
      <c r="C102" s="208">
        <v>1404</v>
      </c>
      <c r="D102" s="140">
        <v>55</v>
      </c>
      <c r="E102" s="208"/>
    </row>
    <row r="103" spans="1:5" ht="12.75">
      <c r="A103" s="204"/>
      <c r="B103" s="121" t="s">
        <v>175</v>
      </c>
      <c r="C103" s="205">
        <v>52</v>
      </c>
      <c r="D103" s="206">
        <v>0</v>
      </c>
      <c r="E103" s="205"/>
    </row>
    <row r="104" spans="1:5" ht="12.75">
      <c r="A104" s="207" t="s">
        <v>44</v>
      </c>
      <c r="B104" s="123" t="s">
        <v>18</v>
      </c>
      <c r="C104" s="140">
        <f>C105</f>
        <v>0</v>
      </c>
      <c r="D104" s="140">
        <f>D105</f>
        <v>0</v>
      </c>
      <c r="E104" s="140">
        <f>E105</f>
        <v>0</v>
      </c>
    </row>
    <row r="105" spans="1:5" ht="12.75">
      <c r="A105" s="207"/>
      <c r="B105" s="141" t="s">
        <v>195</v>
      </c>
      <c r="C105" s="140"/>
      <c r="D105" s="140">
        <v>0</v>
      </c>
      <c r="E105" s="140"/>
    </row>
    <row r="106" spans="1:5" ht="12.75">
      <c r="A106" s="204"/>
      <c r="B106" s="139" t="s">
        <v>189</v>
      </c>
      <c r="C106" s="205"/>
      <c r="D106" s="205"/>
      <c r="E106" s="205"/>
    </row>
    <row r="107" spans="1:5" ht="12.75">
      <c r="A107" s="120" t="s">
        <v>5</v>
      </c>
      <c r="B107" s="142" t="s">
        <v>40</v>
      </c>
      <c r="C107" s="208"/>
      <c r="D107" s="208"/>
      <c r="E107" s="208"/>
    </row>
    <row r="108" spans="1:5" ht="12.75">
      <c r="A108" s="120" t="s">
        <v>6</v>
      </c>
      <c r="B108" s="142" t="s">
        <v>41</v>
      </c>
      <c r="C108" s="208"/>
      <c r="D108" s="208"/>
      <c r="E108" s="208"/>
    </row>
    <row r="109" spans="1:5" ht="12.75">
      <c r="A109" s="119" t="s">
        <v>7</v>
      </c>
      <c r="B109" s="136" t="s">
        <v>56</v>
      </c>
      <c r="C109" s="138">
        <f>SUM(C110:C111)</f>
        <v>1500</v>
      </c>
      <c r="D109" s="138">
        <f>SUM(D110:D111)</f>
        <v>19139</v>
      </c>
      <c r="E109" s="138">
        <f>SUM(E110:E111)</f>
        <v>19139</v>
      </c>
    </row>
    <row r="110" spans="1:5" ht="12.75">
      <c r="A110" s="204" t="s">
        <v>45</v>
      </c>
      <c r="B110" s="121" t="s">
        <v>296</v>
      </c>
      <c r="C110" s="205">
        <v>1500</v>
      </c>
      <c r="D110" s="205">
        <v>1500</v>
      </c>
      <c r="E110" s="206">
        <v>1500</v>
      </c>
    </row>
    <row r="111" spans="1:5" ht="12.75">
      <c r="A111" s="204" t="s">
        <v>46</v>
      </c>
      <c r="B111" s="121" t="s">
        <v>370</v>
      </c>
      <c r="C111" s="205"/>
      <c r="D111" s="205">
        <v>17639</v>
      </c>
      <c r="E111" s="206">
        <v>17639</v>
      </c>
    </row>
    <row r="112" spans="1:5" ht="12.75">
      <c r="A112" s="119" t="s">
        <v>8</v>
      </c>
      <c r="B112" s="136" t="s">
        <v>57</v>
      </c>
      <c r="C112" s="138">
        <f>C78+C91+C100+C107+C108+C109</f>
        <v>83185</v>
      </c>
      <c r="D112" s="138">
        <f>D78+D91+D100+D107+D108+D109</f>
        <v>256958.78</v>
      </c>
      <c r="E112" s="138">
        <f>E78+E91+E100+E107+E108+E109</f>
        <v>246142.48</v>
      </c>
    </row>
    <row r="113" spans="1:5" ht="12.75">
      <c r="A113" s="143" t="s">
        <v>9</v>
      </c>
      <c r="B113" s="143" t="s">
        <v>352</v>
      </c>
      <c r="C113" s="144"/>
      <c r="D113" s="144"/>
      <c r="E113" s="144">
        <v>-460</v>
      </c>
    </row>
    <row r="114" spans="1:5" ht="12.75">
      <c r="A114" s="372" t="s">
        <v>10</v>
      </c>
      <c r="B114" s="372" t="s">
        <v>353</v>
      </c>
      <c r="C114" s="373">
        <f>SUM(C112:C113)</f>
        <v>83185</v>
      </c>
      <c r="D114" s="373">
        <f>SUM(D112:D113)</f>
        <v>256958.78</v>
      </c>
      <c r="E114" s="373">
        <f>SUM(E112:E113)</f>
        <v>245682.48</v>
      </c>
    </row>
    <row r="115" spans="1:5" ht="12.75">
      <c r="A115" s="118"/>
      <c r="B115" s="118"/>
      <c r="C115" s="118"/>
      <c r="D115" s="118"/>
      <c r="E115" s="118"/>
    </row>
    <row r="116" spans="1:5" ht="12.75">
      <c r="A116" s="118"/>
      <c r="B116" s="118"/>
      <c r="C116" s="118"/>
      <c r="D116" s="118"/>
      <c r="E116" s="118"/>
    </row>
    <row r="117" spans="1:5" ht="12.75">
      <c r="A117" s="118"/>
      <c r="B117" s="118"/>
      <c r="C117" s="118"/>
      <c r="D117" s="118"/>
      <c r="E117" s="118"/>
    </row>
    <row r="118" spans="1:5" ht="12.75">
      <c r="A118" s="118"/>
      <c r="B118" s="118"/>
      <c r="C118" s="118"/>
      <c r="D118" s="118"/>
      <c r="E118" s="118"/>
    </row>
  </sheetData>
  <sheetProtection/>
  <mergeCells count="3">
    <mergeCell ref="C69:E69"/>
    <mergeCell ref="A71:E71"/>
    <mergeCell ref="A1:E1"/>
  </mergeCells>
  <printOptions/>
  <pageMargins left="1.1023622047244095" right="0.11811023622047245" top="0.9448818897637796" bottom="0.35433070866141736" header="0.31496062992125984" footer="0.31496062992125984"/>
  <pageSetup horizontalDpi="600" verticalDpi="600" orientation="portrait" paperSize="9" scale="85" r:id="rId1"/>
  <headerFooter alignWithMargins="0">
    <oddHeader>&amp;C&amp;"Times New Roman CE,Félkövér"Mogyorósbánya Község Önkormányzat
2012. évi zárás&amp;R&amp;"Times New Roman CE,Félkövér"1.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"/>
  <sheetViews>
    <sheetView zoomScale="85" zoomScaleNormal="85" zoomScalePageLayoutView="0" workbookViewId="0" topLeftCell="A8">
      <selection activeCell="B26" sqref="B26:H28"/>
    </sheetView>
  </sheetViews>
  <sheetFormatPr defaultColWidth="9.00390625" defaultRowHeight="12.75"/>
  <cols>
    <col min="1" max="1" width="38.00390625" style="9" bestFit="1" customWidth="1"/>
    <col min="2" max="2" width="10.50390625" style="8" customWidth="1"/>
    <col min="3" max="3" width="15.375" style="8" customWidth="1"/>
    <col min="4" max="4" width="12.50390625" style="8" customWidth="1"/>
    <col min="5" max="5" width="32.00390625" style="8" bestFit="1" customWidth="1"/>
    <col min="6" max="6" width="13.50390625" style="8" customWidth="1"/>
    <col min="7" max="7" width="11.625" style="8" customWidth="1"/>
    <col min="8" max="8" width="12.875" style="8" customWidth="1"/>
    <col min="9" max="16384" width="9.375" style="8" customWidth="1"/>
  </cols>
  <sheetData>
    <row r="1" spans="1:8" ht="15.75">
      <c r="A1" s="17"/>
      <c r="B1" s="17"/>
      <c r="C1" s="17"/>
      <c r="D1" s="17"/>
      <c r="E1" s="426" t="s">
        <v>390</v>
      </c>
      <c r="F1" s="426"/>
      <c r="G1" s="426"/>
      <c r="H1" s="426"/>
    </row>
    <row r="2" spans="1:8" ht="15.75">
      <c r="A2" s="430" t="s">
        <v>77</v>
      </c>
      <c r="B2" s="430"/>
      <c r="C2" s="430"/>
      <c r="D2" s="430"/>
      <c r="E2" s="430"/>
      <c r="F2" s="430"/>
      <c r="G2" s="430"/>
      <c r="H2" s="430"/>
    </row>
    <row r="3" spans="1:8" ht="15.75">
      <c r="A3" s="430" t="s">
        <v>401</v>
      </c>
      <c r="B3" s="430"/>
      <c r="C3" s="430"/>
      <c r="D3" s="430"/>
      <c r="E3" s="430"/>
      <c r="F3" s="430"/>
      <c r="G3" s="430"/>
      <c r="H3" s="430"/>
    </row>
    <row r="5" spans="1:8" ht="39.75" customHeight="1">
      <c r="A5" s="429" t="s">
        <v>19</v>
      </c>
      <c r="B5" s="429"/>
      <c r="C5" s="429"/>
      <c r="D5" s="429"/>
      <c r="E5" s="429"/>
      <c r="F5" s="429"/>
      <c r="G5" s="429"/>
      <c r="H5" s="429"/>
    </row>
    <row r="6" spans="6:8" ht="12.75">
      <c r="F6" s="427" t="s">
        <v>269</v>
      </c>
      <c r="G6" s="427"/>
      <c r="H6" s="427"/>
    </row>
    <row r="7" spans="1:8" ht="24" customHeight="1">
      <c r="A7" s="233" t="s">
        <v>15</v>
      </c>
      <c r="B7" s="233"/>
      <c r="C7" s="233"/>
      <c r="D7" s="233"/>
      <c r="E7" s="428" t="s">
        <v>16</v>
      </c>
      <c r="F7" s="428"/>
      <c r="G7" s="428"/>
      <c r="H7" s="428"/>
    </row>
    <row r="8" spans="1:8" s="10" customFormat="1" ht="48">
      <c r="A8" s="153" t="s">
        <v>20</v>
      </c>
      <c r="B8" s="228" t="s">
        <v>469</v>
      </c>
      <c r="C8" s="228" t="s">
        <v>307</v>
      </c>
      <c r="D8" s="228" t="s">
        <v>300</v>
      </c>
      <c r="E8" s="153" t="s">
        <v>20</v>
      </c>
      <c r="F8" s="228" t="s">
        <v>469</v>
      </c>
      <c r="G8" s="228" t="s">
        <v>307</v>
      </c>
      <c r="H8" s="228" t="s">
        <v>300</v>
      </c>
    </row>
    <row r="9" spans="1:8" ht="15.75" customHeight="1">
      <c r="A9" s="77"/>
      <c r="B9" s="107"/>
      <c r="C9" s="107"/>
      <c r="D9" s="107"/>
      <c r="E9" s="77"/>
      <c r="F9" s="234"/>
      <c r="G9" s="83"/>
      <c r="H9" s="83"/>
    </row>
    <row r="10" spans="1:8" ht="17.25" customHeight="1">
      <c r="A10" s="77" t="s">
        <v>21</v>
      </c>
      <c r="B10" s="107">
        <f>'Fő tábla 1.'!C6</f>
        <v>2532</v>
      </c>
      <c r="C10" s="107">
        <f>'Fő tábla 1.'!D6</f>
        <v>2532</v>
      </c>
      <c r="D10" s="107">
        <f>'Fő tábla 1.'!E6</f>
        <v>2854</v>
      </c>
      <c r="E10" s="77" t="s">
        <v>22</v>
      </c>
      <c r="F10" s="234">
        <f>'Fő tábla 1.'!C79</f>
        <v>7263</v>
      </c>
      <c r="G10" s="234">
        <f>'Fő tábla 1.'!D79</f>
        <v>8689</v>
      </c>
      <c r="H10" s="234">
        <f>'Fő tábla 1.'!E79</f>
        <v>8689</v>
      </c>
    </row>
    <row r="11" spans="1:8" ht="22.5">
      <c r="A11" s="77" t="s">
        <v>42</v>
      </c>
      <c r="B11" s="107">
        <f>'Fő tábla 1.'!C7</f>
        <v>38250</v>
      </c>
      <c r="C11" s="107">
        <f>'Fő tábla 1.'!D7</f>
        <v>38251</v>
      </c>
      <c r="D11" s="107">
        <f>'Fő tábla 1.'!E7</f>
        <v>40437</v>
      </c>
      <c r="E11" s="77" t="s">
        <v>23</v>
      </c>
      <c r="F11" s="234">
        <f>'Fő tábla 1.'!C80</f>
        <v>1788</v>
      </c>
      <c r="G11" s="234">
        <f>'Fő tábla 1.'!D80</f>
        <v>1991.7800000000002</v>
      </c>
      <c r="H11" s="234">
        <f>'Fő tábla 1.'!E80</f>
        <v>1955.48</v>
      </c>
    </row>
    <row r="12" spans="1:8" ht="15.75" customHeight="1">
      <c r="A12" s="77" t="s">
        <v>38</v>
      </c>
      <c r="B12" s="107">
        <f>'Fő tábla 1.'!C18</f>
        <v>6567</v>
      </c>
      <c r="C12" s="107">
        <f>'Fő tábla 1.'!D18</f>
        <v>114176</v>
      </c>
      <c r="D12" s="107">
        <f>'Fő tábla 1.'!E18</f>
        <v>114176</v>
      </c>
      <c r="E12" s="77" t="s">
        <v>24</v>
      </c>
      <c r="F12" s="2">
        <f>'Fő tábla 1.'!C81</f>
        <v>24630</v>
      </c>
      <c r="G12" s="2">
        <f>'Fő tábla 1.'!D81</f>
        <v>134413</v>
      </c>
      <c r="H12" s="2">
        <f>'Fő tábla 1.'!E81</f>
        <v>127548</v>
      </c>
    </row>
    <row r="13" spans="1:8" ht="15.75" customHeight="1">
      <c r="A13" s="77" t="s">
        <v>59</v>
      </c>
      <c r="B13" s="107">
        <f>'Fő tábla 1.'!C31</f>
        <v>0</v>
      </c>
      <c r="C13" s="107">
        <f>'Fő tábla 1.'!D31</f>
        <v>8869</v>
      </c>
      <c r="D13" s="107">
        <f>'Fő tábla 1.'!E31</f>
        <v>8869</v>
      </c>
      <c r="E13" s="77" t="s">
        <v>37</v>
      </c>
      <c r="F13" s="2">
        <f>'Fő tábla 1.'!C82</f>
        <v>640</v>
      </c>
      <c r="G13" s="2">
        <f>'Fő tábla 1.'!D82</f>
        <v>640</v>
      </c>
      <c r="H13" s="2">
        <f>'Fő tábla 1.'!E82</f>
        <v>368</v>
      </c>
    </row>
    <row r="14" spans="1:8" ht="15.75" customHeight="1">
      <c r="A14" s="77" t="s">
        <v>253</v>
      </c>
      <c r="B14" s="107"/>
      <c r="C14" s="107"/>
      <c r="D14" s="107"/>
      <c r="E14" s="77" t="s">
        <v>68</v>
      </c>
      <c r="F14" s="2">
        <f>'Fő tábla 1.'!C84</f>
        <v>19607</v>
      </c>
      <c r="G14" s="2">
        <f>'Fő tábla 1.'!D84</f>
        <v>19640</v>
      </c>
      <c r="H14" s="2">
        <f>'Fő tábla 1.'!E84</f>
        <v>18345</v>
      </c>
    </row>
    <row r="15" spans="1:8" ht="15.75" customHeight="1">
      <c r="A15" s="77" t="s">
        <v>39</v>
      </c>
      <c r="B15" s="107">
        <f>'Fő tábla 1.'!C52</f>
        <v>10841</v>
      </c>
      <c r="C15" s="107">
        <f>'Fő tábla 1.'!D52</f>
        <v>10841</v>
      </c>
      <c r="D15" s="107">
        <f>'Fő tábla 1.'!E52</f>
        <v>10842</v>
      </c>
      <c r="E15" s="77" t="s">
        <v>255</v>
      </c>
      <c r="F15" s="2">
        <f>'Fő tábla 1.'!C85</f>
        <v>1018</v>
      </c>
      <c r="G15" s="2">
        <f>'Fő tábla 1.'!D85</f>
        <v>704</v>
      </c>
      <c r="H15" s="2">
        <f>'Fő tábla 1.'!E85</f>
        <v>64</v>
      </c>
    </row>
    <row r="16" spans="1:8" ht="15.75" customHeight="1">
      <c r="A16" s="77" t="s">
        <v>254</v>
      </c>
      <c r="B16" s="107"/>
      <c r="C16" s="107"/>
      <c r="D16" s="107"/>
      <c r="E16" s="77" t="s">
        <v>69</v>
      </c>
      <c r="F16" s="2">
        <f>'Fő tábla 1.'!C87</f>
        <v>1840</v>
      </c>
      <c r="G16" s="2">
        <f>'Fő tábla 1.'!D87</f>
        <v>4948</v>
      </c>
      <c r="H16" s="2">
        <f>'Fő tábla 1.'!E87</f>
        <v>4135</v>
      </c>
    </row>
    <row r="17" spans="1:8" ht="15.75" customHeight="1">
      <c r="A17" s="235"/>
      <c r="B17" s="107"/>
      <c r="C17" s="107"/>
      <c r="D17" s="107"/>
      <c r="E17" s="77" t="s">
        <v>193</v>
      </c>
      <c r="F17" s="2">
        <f>'Fő tábla 1.'!C102</f>
        <v>1404</v>
      </c>
      <c r="G17" s="2">
        <f>'Fő tábla 1.'!D102</f>
        <v>55</v>
      </c>
      <c r="H17" s="2">
        <f>'Fő tábla 1.'!E102</f>
        <v>0</v>
      </c>
    </row>
    <row r="18" spans="1:8" ht="15.75" customHeight="1">
      <c r="A18" s="77"/>
      <c r="B18" s="108"/>
      <c r="C18" s="108"/>
      <c r="D18" s="108"/>
      <c r="E18" s="137" t="s">
        <v>411</v>
      </c>
      <c r="F18" s="2">
        <f>'Fő tábla 1.'!C86</f>
        <v>0</v>
      </c>
      <c r="G18" s="2">
        <f>'Fő tábla 1.'!D86</f>
        <v>281</v>
      </c>
      <c r="H18" s="2">
        <f>'Fő tábla 1.'!E86</f>
        <v>281</v>
      </c>
    </row>
    <row r="19" spans="1:8" ht="15.75" customHeight="1">
      <c r="A19" s="77" t="s">
        <v>409</v>
      </c>
      <c r="B19" s="108"/>
      <c r="C19" s="108"/>
      <c r="D19" s="108">
        <v>32</v>
      </c>
      <c r="E19" s="77" t="s">
        <v>410</v>
      </c>
      <c r="F19" s="2"/>
      <c r="G19" s="83"/>
      <c r="H19" s="83">
        <v>-460</v>
      </c>
    </row>
    <row r="20" spans="1:8" ht="15.75" customHeight="1">
      <c r="A20" s="77"/>
      <c r="B20" s="108"/>
      <c r="C20" s="108"/>
      <c r="D20" s="108"/>
      <c r="E20" s="77"/>
      <c r="F20" s="2"/>
      <c r="G20" s="83"/>
      <c r="H20" s="83"/>
    </row>
    <row r="21" spans="1:8" ht="15.75" customHeight="1">
      <c r="A21" s="77"/>
      <c r="B21" s="108"/>
      <c r="C21" s="108"/>
      <c r="D21" s="108"/>
      <c r="E21" s="77"/>
      <c r="F21" s="2"/>
      <c r="G21" s="83"/>
      <c r="H21" s="83"/>
    </row>
    <row r="22" spans="1:8" ht="15.75" customHeight="1">
      <c r="A22" s="77"/>
      <c r="B22" s="108"/>
      <c r="C22" s="108"/>
      <c r="D22" s="108"/>
      <c r="E22" s="77"/>
      <c r="F22" s="2"/>
      <c r="G22" s="83"/>
      <c r="H22" s="83"/>
    </row>
    <row r="23" spans="1:8" ht="15.75" customHeight="1">
      <c r="A23" s="235"/>
      <c r="B23" s="108"/>
      <c r="C23" s="108"/>
      <c r="D23" s="108"/>
      <c r="E23" s="77"/>
      <c r="F23" s="2"/>
      <c r="G23" s="83"/>
      <c r="H23" s="83"/>
    </row>
    <row r="24" spans="1:8" ht="18" customHeight="1">
      <c r="A24" s="78" t="s">
        <v>25</v>
      </c>
      <c r="B24" s="108">
        <f>SUM(B9:B23)</f>
        <v>58190</v>
      </c>
      <c r="C24" s="108">
        <f>SUM(C9:C23)</f>
        <v>174669</v>
      </c>
      <c r="D24" s="108">
        <f>SUM(D10:D23)</f>
        <v>177210</v>
      </c>
      <c r="E24" s="78" t="s">
        <v>25</v>
      </c>
      <c r="F24" s="79">
        <f>SUM(F9:F23)</f>
        <v>58190</v>
      </c>
      <c r="G24" s="79">
        <f>SUM(G9:G23)</f>
        <v>171361.78</v>
      </c>
      <c r="H24" s="83">
        <f>SUM(H9:H23)</f>
        <v>160925.48</v>
      </c>
    </row>
    <row r="25" spans="1:8" ht="18" customHeight="1">
      <c r="A25" s="230" t="s">
        <v>26</v>
      </c>
      <c r="B25" s="108"/>
      <c r="C25" s="108"/>
      <c r="D25" s="108"/>
      <c r="E25" s="232" t="s">
        <v>27</v>
      </c>
      <c r="F25" s="231" t="str">
        <f>IF(((B24-F24)&gt;0),B24-F24,"----")</f>
        <v>----</v>
      </c>
      <c r="G25" s="83">
        <f>C24-G24</f>
        <v>3307.220000000001</v>
      </c>
      <c r="H25" s="83">
        <f>D24-H24</f>
        <v>16284.51999999999</v>
      </c>
    </row>
    <row r="26" spans="2:8" ht="12.75">
      <c r="B26" s="161"/>
      <c r="C26" s="161"/>
      <c r="D26" s="161"/>
      <c r="E26" s="106"/>
      <c r="F26" s="161"/>
      <c r="G26" s="161"/>
      <c r="H26" s="161"/>
    </row>
  </sheetData>
  <sheetProtection/>
  <mergeCells count="6">
    <mergeCell ref="E1:H1"/>
    <mergeCell ref="F6:H6"/>
    <mergeCell ref="E7:H7"/>
    <mergeCell ref="A5:H5"/>
    <mergeCell ref="A2:H2"/>
    <mergeCell ref="A3:H3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zoomScalePageLayoutView="0" workbookViewId="0" topLeftCell="A3">
      <selection activeCell="B9" sqref="B9"/>
    </sheetView>
  </sheetViews>
  <sheetFormatPr defaultColWidth="9.00390625" defaultRowHeight="12.75"/>
  <cols>
    <col min="1" max="1" width="47.00390625" style="9" bestFit="1" customWidth="1"/>
    <col min="2" max="2" width="12.50390625" style="8" bestFit="1" customWidth="1"/>
    <col min="3" max="3" width="12.125" style="8" customWidth="1"/>
    <col min="4" max="4" width="11.50390625" style="8" customWidth="1"/>
    <col min="5" max="5" width="24.125" style="8" bestFit="1" customWidth="1"/>
    <col min="6" max="6" width="12.50390625" style="8" bestFit="1" customWidth="1"/>
    <col min="7" max="8" width="11.375" style="8" customWidth="1"/>
    <col min="9" max="16384" width="9.375" style="8" customWidth="1"/>
  </cols>
  <sheetData>
    <row r="1" spans="1:8" ht="15.75">
      <c r="A1" s="17"/>
      <c r="B1" s="17"/>
      <c r="C1" s="17"/>
      <c r="D1" s="17"/>
      <c r="E1" s="426" t="s">
        <v>391</v>
      </c>
      <c r="F1" s="426"/>
      <c r="G1" s="426"/>
      <c r="H1" s="426"/>
    </row>
    <row r="2" spans="1:8" ht="15.75">
      <c r="A2" s="430" t="s">
        <v>77</v>
      </c>
      <c r="B2" s="430"/>
      <c r="C2" s="430"/>
      <c r="D2" s="430"/>
      <c r="E2" s="430"/>
      <c r="F2" s="430"/>
      <c r="G2" s="430"/>
      <c r="H2" s="430"/>
    </row>
    <row r="3" spans="1:8" ht="15.75">
      <c r="A3" s="430" t="str">
        <f>'Működési bevétel 2'!A3:H3</f>
        <v>2012. évi zárás</v>
      </c>
      <c r="B3" s="430"/>
      <c r="C3" s="430"/>
      <c r="D3" s="430"/>
      <c r="E3" s="430"/>
      <c r="F3" s="430"/>
      <c r="G3" s="430"/>
      <c r="H3" s="430"/>
    </row>
    <row r="4" spans="1:6" ht="15.75">
      <c r="A4" s="18"/>
      <c r="B4" s="18"/>
      <c r="C4" s="18"/>
      <c r="D4" s="18"/>
      <c r="E4" s="18"/>
      <c r="F4" s="18"/>
    </row>
    <row r="5" spans="1:8" ht="39.75" customHeight="1">
      <c r="A5" s="429" t="s">
        <v>28</v>
      </c>
      <c r="B5" s="429"/>
      <c r="C5" s="429"/>
      <c r="D5" s="429"/>
      <c r="E5" s="429"/>
      <c r="F5" s="429"/>
      <c r="G5" s="429"/>
      <c r="H5" s="429"/>
    </row>
    <row r="6" spans="1:6" ht="39.75" customHeight="1">
      <c r="A6" s="6"/>
      <c r="B6" s="7"/>
      <c r="C6" s="7"/>
      <c r="D6" s="7"/>
      <c r="E6" s="7"/>
      <c r="F6" s="7"/>
    </row>
    <row r="7" spans="6:8" ht="12.75">
      <c r="F7" s="431" t="s">
        <v>269</v>
      </c>
      <c r="G7" s="431"/>
      <c r="H7" s="431"/>
    </row>
    <row r="8" spans="1:8" ht="24" customHeight="1">
      <c r="A8" s="233" t="s">
        <v>15</v>
      </c>
      <c r="B8" s="233"/>
      <c r="C8" s="233"/>
      <c r="D8" s="233"/>
      <c r="E8" s="428" t="s">
        <v>16</v>
      </c>
      <c r="F8" s="428"/>
      <c r="G8" s="428"/>
      <c r="H8" s="428"/>
    </row>
    <row r="9" spans="1:8" s="10" customFormat="1" ht="36">
      <c r="A9" s="153" t="s">
        <v>20</v>
      </c>
      <c r="B9" s="228" t="s">
        <v>407</v>
      </c>
      <c r="C9" s="228" t="s">
        <v>307</v>
      </c>
      <c r="D9" s="228" t="s">
        <v>300</v>
      </c>
      <c r="E9" s="153" t="s">
        <v>20</v>
      </c>
      <c r="F9" s="228" t="s">
        <v>407</v>
      </c>
      <c r="G9" s="228" t="s">
        <v>307</v>
      </c>
      <c r="H9" s="228" t="s">
        <v>300</v>
      </c>
    </row>
    <row r="10" spans="1:8" ht="27.75" customHeight="1">
      <c r="A10" s="77" t="s">
        <v>33</v>
      </c>
      <c r="B10" s="2">
        <v>0</v>
      </c>
      <c r="C10" s="2"/>
      <c r="D10" s="2"/>
      <c r="E10" s="83" t="s">
        <v>256</v>
      </c>
      <c r="F10" s="83"/>
      <c r="G10" s="83"/>
      <c r="H10" s="83"/>
    </row>
    <row r="11" spans="1:8" ht="27.75" customHeight="1">
      <c r="A11" s="77" t="s">
        <v>34</v>
      </c>
      <c r="B11" s="2">
        <f>'Fő tábla 1.'!C28</f>
        <v>5000</v>
      </c>
      <c r="C11" s="2">
        <f>'Fő tábla 1.'!D28</f>
        <v>162</v>
      </c>
      <c r="D11" s="2">
        <f>'Fő tábla 1.'!E28</f>
        <v>162</v>
      </c>
      <c r="E11" s="77" t="s">
        <v>190</v>
      </c>
      <c r="F11" s="2">
        <f>'Fő tábla 1.'!C91</f>
        <v>23443</v>
      </c>
      <c r="G11" s="2">
        <f>'Fő tábla 1.'!D91-250</f>
        <v>66208</v>
      </c>
      <c r="H11" s="2">
        <f>'Fő tábla 1.'!E91-240</f>
        <v>65378</v>
      </c>
    </row>
    <row r="12" spans="1:8" ht="27.75" customHeight="1">
      <c r="A12" s="229" t="s">
        <v>209</v>
      </c>
      <c r="B12" s="2"/>
      <c r="C12" s="2"/>
      <c r="D12" s="2"/>
      <c r="E12" s="77" t="s">
        <v>191</v>
      </c>
      <c r="F12" s="2">
        <f>'Fő tábla 1.'!C96</f>
        <v>0</v>
      </c>
      <c r="G12" s="2">
        <f>'Fő tábla 1.'!D96</f>
        <v>250</v>
      </c>
      <c r="H12" s="2">
        <f>'Fő tábla 1.'!E96</f>
        <v>240</v>
      </c>
    </row>
    <row r="13" spans="1:8" ht="15.75" customHeight="1">
      <c r="A13" s="77" t="s">
        <v>271</v>
      </c>
      <c r="B13" s="2">
        <f>'Fő tábla 1.'!C38</f>
        <v>8695</v>
      </c>
      <c r="C13" s="2">
        <f>'Fő tábla 1.'!D38</f>
        <v>43983</v>
      </c>
      <c r="D13" s="2">
        <f>'Fő tábla 1.'!E38</f>
        <v>43983</v>
      </c>
      <c r="E13" s="77" t="s">
        <v>193</v>
      </c>
      <c r="F13" s="2">
        <f>'Fő tábla 1.'!C103</f>
        <v>52</v>
      </c>
      <c r="G13" s="2">
        <f>'Fő tábla 1.'!D103</f>
        <v>0</v>
      </c>
      <c r="H13" s="2">
        <f>'Fő tábla 1.'!E103</f>
        <v>0</v>
      </c>
    </row>
    <row r="14" spans="1:8" ht="24" customHeight="1">
      <c r="A14" s="77" t="s">
        <v>76</v>
      </c>
      <c r="B14" s="2"/>
      <c r="C14" s="2"/>
      <c r="D14" s="2"/>
      <c r="E14" s="77" t="s">
        <v>183</v>
      </c>
      <c r="F14" s="2">
        <f>'Fő tábla 1.'!C110</f>
        <v>1500</v>
      </c>
      <c r="G14" s="2">
        <f>'Fő tábla 1.'!D110</f>
        <v>1500</v>
      </c>
      <c r="H14" s="2">
        <f>'Fő tábla 1.'!E110</f>
        <v>1500</v>
      </c>
    </row>
    <row r="15" spans="1:8" ht="15.75" customHeight="1">
      <c r="A15" s="77" t="s">
        <v>39</v>
      </c>
      <c r="B15" s="2">
        <f>'Fő tábla 1.'!C53</f>
        <v>11300</v>
      </c>
      <c r="C15" s="2">
        <f>'Fő tábla 1.'!D53</f>
        <v>11300</v>
      </c>
      <c r="D15" s="2">
        <f>'Fő tábla 1.'!E53</f>
        <v>11300</v>
      </c>
      <c r="E15" s="77" t="s">
        <v>361</v>
      </c>
      <c r="F15" s="2">
        <f>'Fő tábla 1.'!C111</f>
        <v>0</v>
      </c>
      <c r="G15" s="2">
        <f>'Fő tábla 1.'!D111</f>
        <v>17639</v>
      </c>
      <c r="H15" s="2">
        <f>'Fő tábla 1.'!E111</f>
        <v>17639</v>
      </c>
    </row>
    <row r="16" spans="1:8" ht="15.75" customHeight="1">
      <c r="A16" s="229" t="s">
        <v>272</v>
      </c>
      <c r="B16" s="2">
        <f>'Fő tábla 1.'!C58</f>
        <v>0</v>
      </c>
      <c r="C16" s="2">
        <f>'Fő tábla 1.'!D58</f>
        <v>26845</v>
      </c>
      <c r="D16" s="2">
        <f>'Fő tábla 1.'!E58</f>
        <v>26845</v>
      </c>
      <c r="E16" s="77"/>
      <c r="F16" s="2"/>
      <c r="G16" s="83"/>
      <c r="H16" s="83"/>
    </row>
    <row r="17" spans="1:8" ht="15.75" customHeight="1">
      <c r="A17" s="77"/>
      <c r="B17" s="2"/>
      <c r="C17" s="2"/>
      <c r="D17" s="2"/>
      <c r="E17" s="77"/>
      <c r="F17" s="2"/>
      <c r="G17" s="83"/>
      <c r="H17" s="83"/>
    </row>
    <row r="18" spans="1:8" ht="18" customHeight="1">
      <c r="A18" s="78" t="s">
        <v>25</v>
      </c>
      <c r="B18" s="79">
        <f>SUM(B10:B17)</f>
        <v>24995</v>
      </c>
      <c r="C18" s="79">
        <f>SUM(C10:C17)</f>
        <v>82290</v>
      </c>
      <c r="D18" s="79">
        <f>SUM(D10:D17)</f>
        <v>82290</v>
      </c>
      <c r="E18" s="78" t="s">
        <v>25</v>
      </c>
      <c r="F18" s="79">
        <f>SUM(F10:F17)</f>
        <v>24995</v>
      </c>
      <c r="G18" s="79">
        <f>SUM(G10:G17)</f>
        <v>85597</v>
      </c>
      <c r="H18" s="79">
        <f>SUM(H10:H17)</f>
        <v>84757</v>
      </c>
    </row>
    <row r="19" spans="1:8" ht="18" customHeight="1">
      <c r="A19" s="230" t="s">
        <v>26</v>
      </c>
      <c r="B19" s="231" t="str">
        <f>IF(((F18-B18)&gt;0),F18-B18,"----")</f>
        <v>----</v>
      </c>
      <c r="C19" s="231">
        <f>G18-C18</f>
        <v>3307</v>
      </c>
      <c r="D19" s="231">
        <f>H18-D18</f>
        <v>2467</v>
      </c>
      <c r="E19" s="232" t="s">
        <v>27</v>
      </c>
      <c r="F19" s="231" t="str">
        <f>IF(((B18-F18)&gt;0),B18-F18,"----")</f>
        <v>----</v>
      </c>
      <c r="G19" s="231" t="str">
        <f>IF(((C18-G18)&gt;0),C18-G18,"----")</f>
        <v>----</v>
      </c>
      <c r="H19" s="231" t="str">
        <f>IF(((D18-H18)&gt;0),D18-H18,"----")</f>
        <v>----</v>
      </c>
    </row>
    <row r="21" ht="12" customHeight="1"/>
  </sheetData>
  <sheetProtection/>
  <mergeCells count="6">
    <mergeCell ref="E1:H1"/>
    <mergeCell ref="F7:H7"/>
    <mergeCell ref="E8:H8"/>
    <mergeCell ref="A5:H5"/>
    <mergeCell ref="A2:H2"/>
    <mergeCell ref="A3:H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zoomScalePageLayoutView="0" workbookViewId="0" topLeftCell="A3">
      <selection activeCell="J8" sqref="J8"/>
    </sheetView>
  </sheetViews>
  <sheetFormatPr defaultColWidth="9.00390625" defaultRowHeight="12.75"/>
  <cols>
    <col min="1" max="1" width="45.375" style="0" customWidth="1"/>
    <col min="2" max="13" width="7.875" style="0" customWidth="1"/>
  </cols>
  <sheetData>
    <row r="1" spans="1:13" ht="15.75">
      <c r="A1" s="23"/>
      <c r="B1" s="23"/>
      <c r="C1" s="23"/>
      <c r="D1" s="23"/>
      <c r="E1" s="23"/>
      <c r="F1" s="23"/>
      <c r="G1" s="23"/>
      <c r="H1" s="433" t="s">
        <v>471</v>
      </c>
      <c r="I1" s="433"/>
      <c r="J1" s="433"/>
      <c r="K1" s="433"/>
      <c r="L1" s="433"/>
      <c r="M1" s="433"/>
    </row>
    <row r="2" spans="1:11" ht="15.75">
      <c r="A2" s="23"/>
      <c r="B2" s="23"/>
      <c r="C2" s="23"/>
      <c r="D2" s="23"/>
      <c r="E2" s="23"/>
      <c r="F2" s="23"/>
      <c r="G2" s="23"/>
      <c r="H2" s="81"/>
      <c r="I2" s="81"/>
      <c r="J2" s="81"/>
      <c r="K2" s="81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3" ht="15.75">
      <c r="A4" s="434" t="s">
        <v>77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</row>
    <row r="5" spans="1:13" ht="15.75">
      <c r="A5" s="434" t="s">
        <v>456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</row>
    <row r="6" spans="1:11" ht="15.75">
      <c r="A6" s="72"/>
      <c r="B6" s="71"/>
      <c r="C6" s="71"/>
      <c r="D6" s="71"/>
      <c r="E6" s="70"/>
      <c r="F6" s="70"/>
      <c r="G6" s="70"/>
      <c r="H6" s="70"/>
      <c r="I6" s="70"/>
      <c r="J6" s="70"/>
      <c r="K6" s="72"/>
    </row>
    <row r="7" spans="1:13" ht="15.75">
      <c r="A7" s="435" t="s">
        <v>80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</row>
    <row r="8" spans="1:11" ht="15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12" spans="11:13" ht="15.75">
      <c r="K12" s="418" t="s">
        <v>269</v>
      </c>
      <c r="L12" s="418"/>
      <c r="M12" s="418"/>
    </row>
    <row r="13" spans="1:13" ht="27.75" customHeight="1">
      <c r="A13" s="408" t="s">
        <v>20</v>
      </c>
      <c r="B13" s="410" t="s">
        <v>81</v>
      </c>
      <c r="C13" s="411"/>
      <c r="D13" s="412"/>
      <c r="E13" s="415" t="s">
        <v>82</v>
      </c>
      <c r="F13" s="416"/>
      <c r="G13" s="407"/>
      <c r="H13" s="415" t="s">
        <v>83</v>
      </c>
      <c r="I13" s="416"/>
      <c r="J13" s="407"/>
      <c r="K13" s="415" t="s">
        <v>15</v>
      </c>
      <c r="L13" s="416"/>
      <c r="M13" s="407"/>
    </row>
    <row r="14" spans="1:13" ht="27.75" customHeight="1">
      <c r="A14" s="409"/>
      <c r="B14" s="413" t="s">
        <v>315</v>
      </c>
      <c r="C14" s="414"/>
      <c r="D14" s="432"/>
      <c r="E14" s="419" t="s">
        <v>316</v>
      </c>
      <c r="F14" s="420"/>
      <c r="G14" s="417"/>
      <c r="H14" s="419" t="s">
        <v>317</v>
      </c>
      <c r="I14" s="420"/>
      <c r="J14" s="417"/>
      <c r="K14" s="419" t="s">
        <v>184</v>
      </c>
      <c r="L14" s="420"/>
      <c r="M14" s="417"/>
    </row>
    <row r="15" spans="1:13" ht="27.75" customHeight="1">
      <c r="A15" s="25"/>
      <c r="B15" s="111" t="s">
        <v>306</v>
      </c>
      <c r="C15" s="111" t="s">
        <v>308</v>
      </c>
      <c r="D15" s="111" t="s">
        <v>305</v>
      </c>
      <c r="E15" s="111" t="s">
        <v>306</v>
      </c>
      <c r="F15" s="111" t="s">
        <v>308</v>
      </c>
      <c r="G15" s="111" t="s">
        <v>305</v>
      </c>
      <c r="H15" s="111" t="s">
        <v>306</v>
      </c>
      <c r="I15" s="111" t="s">
        <v>308</v>
      </c>
      <c r="J15" s="111" t="s">
        <v>305</v>
      </c>
      <c r="K15" s="111" t="s">
        <v>306</v>
      </c>
      <c r="L15" s="111" t="s">
        <v>308</v>
      </c>
      <c r="M15" s="111" t="s">
        <v>305</v>
      </c>
    </row>
    <row r="16" spans="1:13" ht="27.75" customHeight="1">
      <c r="A16" s="19" t="s">
        <v>84</v>
      </c>
      <c r="B16" s="67"/>
      <c r="C16" s="67"/>
      <c r="D16" s="67"/>
      <c r="E16" s="21">
        <v>610</v>
      </c>
      <c r="F16" s="21">
        <v>610</v>
      </c>
      <c r="G16" s="21">
        <v>721</v>
      </c>
      <c r="H16" s="21">
        <v>114</v>
      </c>
      <c r="I16" s="21">
        <v>114</v>
      </c>
      <c r="J16" s="21">
        <f>51+581</f>
        <v>632</v>
      </c>
      <c r="K16" s="69">
        <f aca="true" t="shared" si="0" ref="K16:M19">B16+E16+H16</f>
        <v>724</v>
      </c>
      <c r="L16" s="69">
        <f t="shared" si="0"/>
        <v>724</v>
      </c>
      <c r="M16" s="69">
        <f t="shared" si="0"/>
        <v>1353</v>
      </c>
    </row>
    <row r="17" spans="1:16" ht="27.75" customHeight="1">
      <c r="A17" s="19" t="s">
        <v>85</v>
      </c>
      <c r="B17" s="20"/>
      <c r="C17" s="20"/>
      <c r="D17" s="20"/>
      <c r="E17" s="21">
        <v>86</v>
      </c>
      <c r="F17" s="21">
        <v>86</v>
      </c>
      <c r="G17" s="21"/>
      <c r="H17" s="21"/>
      <c r="I17" s="21"/>
      <c r="J17" s="21"/>
      <c r="K17" s="69">
        <f t="shared" si="0"/>
        <v>86</v>
      </c>
      <c r="L17" s="69">
        <f t="shared" si="0"/>
        <v>86</v>
      </c>
      <c r="M17" s="24">
        <f t="shared" si="0"/>
        <v>0</v>
      </c>
      <c r="P17" s="145"/>
    </row>
    <row r="18" spans="1:16" ht="27.75" customHeight="1">
      <c r="A18" s="19" t="s">
        <v>354</v>
      </c>
      <c r="B18" s="20"/>
      <c r="C18" s="20"/>
      <c r="D18" s="20">
        <v>1</v>
      </c>
      <c r="E18" s="21"/>
      <c r="F18" s="21"/>
      <c r="G18" s="21"/>
      <c r="H18" s="21"/>
      <c r="I18" s="21"/>
      <c r="J18" s="21"/>
      <c r="K18" s="69"/>
      <c r="L18" s="69">
        <f t="shared" si="0"/>
        <v>0</v>
      </c>
      <c r="M18" s="24">
        <f t="shared" si="0"/>
        <v>1</v>
      </c>
      <c r="P18" s="145"/>
    </row>
    <row r="19" spans="1:13" ht="27.75" customHeight="1">
      <c r="A19" s="19" t="s">
        <v>314</v>
      </c>
      <c r="B19" s="20">
        <v>1722</v>
      </c>
      <c r="C19" s="20">
        <v>1722</v>
      </c>
      <c r="D19" s="20">
        <v>1500</v>
      </c>
      <c r="E19" s="21"/>
      <c r="F19" s="21"/>
      <c r="G19" s="21"/>
      <c r="H19" s="21"/>
      <c r="I19" s="21"/>
      <c r="J19" s="21"/>
      <c r="K19" s="69">
        <f t="shared" si="0"/>
        <v>1722</v>
      </c>
      <c r="L19" s="69">
        <f t="shared" si="0"/>
        <v>1722</v>
      </c>
      <c r="M19" s="117">
        <f t="shared" si="0"/>
        <v>1500</v>
      </c>
    </row>
    <row r="20" spans="1:13" ht="27.75" customHeight="1">
      <c r="A20" s="22" t="s">
        <v>14</v>
      </c>
      <c r="B20" s="68">
        <f>SUM(B16:B19)</f>
        <v>1722</v>
      </c>
      <c r="C20" s="68">
        <f aca="true" t="shared" si="1" ref="C20:M20">SUM(C16:C19)</f>
        <v>1722</v>
      </c>
      <c r="D20" s="68">
        <f t="shared" si="1"/>
        <v>1501</v>
      </c>
      <c r="E20" s="68">
        <f t="shared" si="1"/>
        <v>696</v>
      </c>
      <c r="F20" s="68">
        <f t="shared" si="1"/>
        <v>696</v>
      </c>
      <c r="G20" s="68">
        <f t="shared" si="1"/>
        <v>721</v>
      </c>
      <c r="H20" s="68">
        <f t="shared" si="1"/>
        <v>114</v>
      </c>
      <c r="I20" s="68">
        <f t="shared" si="1"/>
        <v>114</v>
      </c>
      <c r="J20" s="68">
        <f t="shared" si="1"/>
        <v>632</v>
      </c>
      <c r="K20" s="68">
        <f t="shared" si="1"/>
        <v>2532</v>
      </c>
      <c r="L20" s="68">
        <f t="shared" si="1"/>
        <v>2532</v>
      </c>
      <c r="M20" s="68">
        <f t="shared" si="1"/>
        <v>2854</v>
      </c>
    </row>
  </sheetData>
  <sheetProtection/>
  <mergeCells count="14">
    <mergeCell ref="H1:M1"/>
    <mergeCell ref="A4:M4"/>
    <mergeCell ref="A5:M5"/>
    <mergeCell ref="A7:M7"/>
    <mergeCell ref="K14:M14"/>
    <mergeCell ref="K12:M12"/>
    <mergeCell ref="H13:J13"/>
    <mergeCell ref="A13:A14"/>
    <mergeCell ref="B13:D13"/>
    <mergeCell ref="B14:D14"/>
    <mergeCell ref="E13:G13"/>
    <mergeCell ref="E14:G14"/>
    <mergeCell ref="H14:J14"/>
    <mergeCell ref="K13:M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35"/>
  <sheetViews>
    <sheetView zoomScalePageLayoutView="0" workbookViewId="0" topLeftCell="A12">
      <selection activeCell="A3" sqref="A3:P3"/>
    </sheetView>
  </sheetViews>
  <sheetFormatPr defaultColWidth="9.00390625" defaultRowHeight="12.75"/>
  <cols>
    <col min="1" max="1" width="34.00390625" style="0" customWidth="1"/>
    <col min="2" max="4" width="7.625" style="0" customWidth="1"/>
    <col min="5" max="5" width="8.00390625" style="0" customWidth="1"/>
    <col min="6" max="10" width="7.625" style="0" customWidth="1"/>
    <col min="11" max="11" width="7.00390625" style="0" customWidth="1"/>
    <col min="12" max="16" width="6.50390625" style="0" bestFit="1" customWidth="1"/>
  </cols>
  <sheetData>
    <row r="1" spans="1:16" ht="14.25">
      <c r="A1" s="459" t="s">
        <v>472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ht="15.75">
      <c r="A2" s="435" t="s">
        <v>87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ht="15.75">
      <c r="A3" s="436" t="str">
        <f>'Int.műk.bev.3.'!A5</f>
        <v>2012. évi zárása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4" spans="1:16" ht="19.5" customHeight="1">
      <c r="A4" s="435" t="s">
        <v>172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</row>
    <row r="5" spans="1:16" ht="19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4:16" ht="11.25" customHeight="1">
      <c r="N6" s="440" t="s">
        <v>269</v>
      </c>
      <c r="O6" s="440"/>
      <c r="P6" s="440"/>
    </row>
    <row r="7" spans="1:16" ht="12.75">
      <c r="A7" s="437" t="s">
        <v>20</v>
      </c>
      <c r="B7" s="441" t="s">
        <v>88</v>
      </c>
      <c r="C7" s="441"/>
      <c r="D7" s="441"/>
      <c r="E7" s="441"/>
      <c r="F7" s="441"/>
      <c r="G7" s="441"/>
      <c r="H7" s="463" t="s">
        <v>208</v>
      </c>
      <c r="I7" s="464"/>
      <c r="J7" s="465"/>
      <c r="K7" s="441" t="s">
        <v>318</v>
      </c>
      <c r="L7" s="441"/>
      <c r="M7" s="441"/>
      <c r="N7" s="438" t="s">
        <v>164</v>
      </c>
      <c r="O7" s="438"/>
      <c r="P7" s="438"/>
    </row>
    <row r="8" spans="1:16" ht="12.75">
      <c r="A8" s="437"/>
      <c r="B8" s="441" t="s">
        <v>88</v>
      </c>
      <c r="C8" s="442"/>
      <c r="D8" s="441"/>
      <c r="E8" s="441" t="s">
        <v>213</v>
      </c>
      <c r="F8" s="441"/>
      <c r="G8" s="441"/>
      <c r="H8" s="180"/>
      <c r="I8" s="180"/>
      <c r="J8" s="180"/>
      <c r="K8" s="442" t="s">
        <v>309</v>
      </c>
      <c r="L8" s="442"/>
      <c r="M8" s="441"/>
      <c r="N8" s="438" t="s">
        <v>90</v>
      </c>
      <c r="O8" s="439"/>
      <c r="P8" s="438"/>
    </row>
    <row r="9" spans="1:16" ht="12.75">
      <c r="A9" s="437"/>
      <c r="B9" s="441"/>
      <c r="C9" s="442"/>
      <c r="D9" s="441"/>
      <c r="E9" s="441"/>
      <c r="F9" s="442"/>
      <c r="G9" s="441"/>
      <c r="H9" s="180"/>
      <c r="I9" s="180"/>
      <c r="J9" s="180"/>
      <c r="K9" s="442"/>
      <c r="L9" s="442"/>
      <c r="M9" s="441"/>
      <c r="N9" s="438" t="s">
        <v>310</v>
      </c>
      <c r="O9" s="439"/>
      <c r="P9" s="438"/>
    </row>
    <row r="10" spans="1:17" ht="12.75">
      <c r="A10" s="179"/>
      <c r="B10" s="186" t="s">
        <v>305</v>
      </c>
      <c r="C10" s="186" t="s">
        <v>306</v>
      </c>
      <c r="D10" s="186" t="s">
        <v>308</v>
      </c>
      <c r="E10" s="186" t="s">
        <v>305</v>
      </c>
      <c r="F10" s="186" t="s">
        <v>306</v>
      </c>
      <c r="G10" s="186" t="s">
        <v>308</v>
      </c>
      <c r="H10" s="186" t="s">
        <v>305</v>
      </c>
      <c r="I10" s="186" t="s">
        <v>306</v>
      </c>
      <c r="J10" s="186" t="s">
        <v>308</v>
      </c>
      <c r="K10" s="186" t="s">
        <v>305</v>
      </c>
      <c r="L10" s="186" t="s">
        <v>306</v>
      </c>
      <c r="M10" s="186" t="s">
        <v>308</v>
      </c>
      <c r="N10" s="186" t="s">
        <v>305</v>
      </c>
      <c r="O10" s="186" t="s">
        <v>306</v>
      </c>
      <c r="P10" s="186" t="s">
        <v>308</v>
      </c>
      <c r="Q10" s="371"/>
    </row>
    <row r="11" spans="1:17" ht="21.75" customHeight="1">
      <c r="A11" s="24" t="s">
        <v>32</v>
      </c>
      <c r="B11" s="181">
        <v>3710</v>
      </c>
      <c r="C11" s="183">
        <v>3710</v>
      </c>
      <c r="D11" s="181">
        <v>3710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5">
        <f>B11+E11+K11</f>
        <v>3710</v>
      </c>
      <c r="O11" s="185">
        <f>C11+F11+L11</f>
        <v>3710</v>
      </c>
      <c r="P11" s="185">
        <f aca="true" t="shared" si="0" ref="P11:P24">D11+G11+M11</f>
        <v>3710</v>
      </c>
      <c r="Q11" s="371"/>
    </row>
    <row r="12" spans="1:17" ht="21" customHeight="1">
      <c r="A12" s="24" t="s">
        <v>319</v>
      </c>
      <c r="B12" s="99"/>
      <c r="C12" s="99"/>
      <c r="D12" s="99"/>
      <c r="E12" s="99">
        <f>(93+93)*12</f>
        <v>2232</v>
      </c>
      <c r="F12" s="177">
        <v>2232</v>
      </c>
      <c r="G12" s="99">
        <v>2214</v>
      </c>
      <c r="H12" s="99"/>
      <c r="I12" s="99"/>
      <c r="J12" s="99"/>
      <c r="K12" s="99">
        <v>100</v>
      </c>
      <c r="L12" s="99">
        <v>990</v>
      </c>
      <c r="M12" s="99">
        <v>939</v>
      </c>
      <c r="N12" s="185">
        <f aca="true" t="shared" si="1" ref="N12:N24">B12+E12+K12</f>
        <v>2332</v>
      </c>
      <c r="O12" s="185">
        <f aca="true" t="shared" si="2" ref="O12:O24">C12+F12+L12</f>
        <v>3222</v>
      </c>
      <c r="P12" s="185">
        <f t="shared" si="0"/>
        <v>3153</v>
      </c>
      <c r="Q12" s="371"/>
    </row>
    <row r="13" spans="1:20" ht="19.5" customHeight="1">
      <c r="A13" s="182" t="s">
        <v>91</v>
      </c>
      <c r="B13" s="185">
        <f aca="true" t="shared" si="3" ref="B13:G13">SUM(B11:B12)</f>
        <v>3710</v>
      </c>
      <c r="C13" s="185">
        <f t="shared" si="3"/>
        <v>3710</v>
      </c>
      <c r="D13" s="185">
        <f t="shared" si="3"/>
        <v>3710</v>
      </c>
      <c r="E13" s="185">
        <f t="shared" si="3"/>
        <v>2232</v>
      </c>
      <c r="F13" s="185">
        <f t="shared" si="3"/>
        <v>2232</v>
      </c>
      <c r="G13" s="185">
        <f t="shared" si="3"/>
        <v>2214</v>
      </c>
      <c r="H13" s="185"/>
      <c r="I13" s="185"/>
      <c r="J13" s="185"/>
      <c r="K13" s="185">
        <f>SUM(K11:K12)</f>
        <v>100</v>
      </c>
      <c r="L13" s="185">
        <f>SUM(L11:L12)</f>
        <v>990</v>
      </c>
      <c r="M13" s="185">
        <f>SUM(M11:M12)</f>
        <v>939</v>
      </c>
      <c r="N13" s="185">
        <f t="shared" si="1"/>
        <v>6042</v>
      </c>
      <c r="O13" s="185">
        <f t="shared" si="2"/>
        <v>6932</v>
      </c>
      <c r="P13" s="185">
        <f t="shared" si="0"/>
        <v>6863</v>
      </c>
      <c r="Q13" s="371"/>
      <c r="T13" s="184"/>
    </row>
    <row r="14" spans="1:17" ht="19.5" customHeight="1">
      <c r="A14" s="188" t="s">
        <v>339</v>
      </c>
      <c r="B14" s="185">
        <v>0</v>
      </c>
      <c r="C14" s="185"/>
      <c r="D14" s="185"/>
      <c r="E14" s="185"/>
      <c r="F14" s="185">
        <v>4</v>
      </c>
      <c r="G14" s="185">
        <v>1</v>
      </c>
      <c r="H14" s="185"/>
      <c r="I14" s="185"/>
      <c r="J14" s="185"/>
      <c r="K14" s="185"/>
      <c r="L14" s="185"/>
      <c r="M14" s="185"/>
      <c r="N14" s="185">
        <f t="shared" si="1"/>
        <v>0</v>
      </c>
      <c r="O14" s="185">
        <f t="shared" si="2"/>
        <v>4</v>
      </c>
      <c r="P14" s="185">
        <f t="shared" si="0"/>
        <v>1</v>
      </c>
      <c r="Q14" s="371"/>
    </row>
    <row r="15" spans="1:17" ht="19.5" customHeight="1">
      <c r="A15" s="188" t="s">
        <v>380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>
        <v>9</v>
      </c>
      <c r="M15" s="185">
        <v>9</v>
      </c>
      <c r="N15" s="185">
        <f t="shared" si="1"/>
        <v>0</v>
      </c>
      <c r="O15" s="185">
        <f t="shared" si="2"/>
        <v>9</v>
      </c>
      <c r="P15" s="185">
        <f t="shared" si="0"/>
        <v>9</v>
      </c>
      <c r="Q15" s="371"/>
    </row>
    <row r="16" spans="1:17" ht="19.5" customHeight="1">
      <c r="A16" s="188" t="s">
        <v>379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>
        <v>520</v>
      </c>
      <c r="M16" s="185">
        <v>520</v>
      </c>
      <c r="N16" s="185">
        <f t="shared" si="1"/>
        <v>0</v>
      </c>
      <c r="O16" s="185">
        <f t="shared" si="2"/>
        <v>520</v>
      </c>
      <c r="P16" s="185">
        <f t="shared" si="0"/>
        <v>520</v>
      </c>
      <c r="Q16" s="371"/>
    </row>
    <row r="17" spans="1:17" ht="21" customHeight="1">
      <c r="A17" s="24" t="s">
        <v>399</v>
      </c>
      <c r="B17" s="99">
        <v>153</v>
      </c>
      <c r="C17" s="99">
        <v>63</v>
      </c>
      <c r="D17" s="99">
        <v>53</v>
      </c>
      <c r="E17" s="99"/>
      <c r="F17" s="99"/>
      <c r="G17" s="99"/>
      <c r="H17" s="99"/>
      <c r="I17" s="99"/>
      <c r="J17" s="99"/>
      <c r="K17" s="99"/>
      <c r="L17" s="99"/>
      <c r="M17" s="99"/>
      <c r="N17" s="185">
        <f t="shared" si="1"/>
        <v>153</v>
      </c>
      <c r="O17" s="185">
        <f t="shared" si="2"/>
        <v>63</v>
      </c>
      <c r="P17" s="185">
        <f t="shared" si="0"/>
        <v>53</v>
      </c>
      <c r="Q17" s="371"/>
    </row>
    <row r="18" spans="1:17" ht="19.5" customHeight="1">
      <c r="A18" s="24" t="s">
        <v>400</v>
      </c>
      <c r="B18" s="99"/>
      <c r="C18" s="99">
        <v>100</v>
      </c>
      <c r="D18" s="99">
        <v>100</v>
      </c>
      <c r="E18" s="99">
        <f>(5+5)*12</f>
        <v>120</v>
      </c>
      <c r="F18" s="99">
        <v>110</v>
      </c>
      <c r="G18" s="99">
        <v>110</v>
      </c>
      <c r="H18" s="99"/>
      <c r="I18" s="99"/>
      <c r="J18" s="99"/>
      <c r="K18" s="99"/>
      <c r="L18" s="99"/>
      <c r="M18" s="99"/>
      <c r="N18" s="185">
        <f t="shared" si="1"/>
        <v>120</v>
      </c>
      <c r="O18" s="185">
        <f t="shared" si="2"/>
        <v>210</v>
      </c>
      <c r="P18" s="185">
        <f t="shared" si="0"/>
        <v>210</v>
      </c>
      <c r="Q18" s="371"/>
    </row>
    <row r="19" spans="1:17" ht="21" customHeight="1">
      <c r="A19" s="24" t="s">
        <v>320</v>
      </c>
      <c r="B19" s="177">
        <f>928</f>
        <v>928</v>
      </c>
      <c r="C19" s="177">
        <f>948-20+3</f>
        <v>931</v>
      </c>
      <c r="D19" s="99">
        <f>1019-20</f>
        <v>999</v>
      </c>
      <c r="E19" s="99"/>
      <c r="F19" s="99"/>
      <c r="G19" s="99"/>
      <c r="H19" s="99"/>
      <c r="I19" s="99"/>
      <c r="J19" s="99"/>
      <c r="K19" s="99"/>
      <c r="L19" s="99"/>
      <c r="M19" s="99"/>
      <c r="N19" s="185">
        <f t="shared" si="1"/>
        <v>928</v>
      </c>
      <c r="O19" s="185">
        <f t="shared" si="2"/>
        <v>931</v>
      </c>
      <c r="P19" s="185">
        <f t="shared" si="0"/>
        <v>999</v>
      </c>
      <c r="Q19" s="371"/>
    </row>
    <row r="20" spans="1:17" ht="20.25" customHeight="1">
      <c r="A20" s="24" t="s">
        <v>261</v>
      </c>
      <c r="B20" s="99">
        <v>20</v>
      </c>
      <c r="C20" s="99">
        <v>20</v>
      </c>
      <c r="D20" s="99">
        <v>20</v>
      </c>
      <c r="E20" s="99"/>
      <c r="F20" s="99"/>
      <c r="G20" s="99"/>
      <c r="H20" s="99"/>
      <c r="I20" s="99"/>
      <c r="J20" s="99"/>
      <c r="K20" s="99"/>
      <c r="L20" s="99"/>
      <c r="M20" s="99"/>
      <c r="N20" s="185">
        <f t="shared" si="1"/>
        <v>20</v>
      </c>
      <c r="O20" s="185">
        <f t="shared" si="2"/>
        <v>20</v>
      </c>
      <c r="P20" s="185">
        <f t="shared" si="0"/>
        <v>20</v>
      </c>
      <c r="Q20" s="371"/>
    </row>
    <row r="21" spans="1:17" ht="20.25" customHeight="1">
      <c r="A21" s="24" t="s">
        <v>378</v>
      </c>
      <c r="B21" s="99">
        <v>0</v>
      </c>
      <c r="C21" s="99">
        <v>0</v>
      </c>
      <c r="D21" s="99">
        <v>14</v>
      </c>
      <c r="E21" s="99"/>
      <c r="F21" s="99"/>
      <c r="G21" s="99"/>
      <c r="H21" s="99"/>
      <c r="I21" s="99"/>
      <c r="J21" s="99"/>
      <c r="K21" s="99"/>
      <c r="L21" s="99"/>
      <c r="M21" s="99"/>
      <c r="N21" s="185">
        <f t="shared" si="1"/>
        <v>0</v>
      </c>
      <c r="O21" s="185">
        <f t="shared" si="2"/>
        <v>0</v>
      </c>
      <c r="P21" s="185">
        <f t="shared" si="0"/>
        <v>14</v>
      </c>
      <c r="Q21" s="371"/>
    </row>
    <row r="22" spans="1:17" ht="11.25" customHeight="1">
      <c r="A22" s="182" t="s">
        <v>92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85">
        <f t="shared" si="1"/>
        <v>0</v>
      </c>
      <c r="O22" s="185">
        <f t="shared" si="2"/>
        <v>0</v>
      </c>
      <c r="P22" s="185">
        <f t="shared" si="0"/>
        <v>0</v>
      </c>
      <c r="Q22" s="371"/>
    </row>
    <row r="23" spans="1:17" ht="12.75" customHeight="1">
      <c r="A23" s="182" t="s">
        <v>93</v>
      </c>
      <c r="B23" s="185">
        <f>SUM(B14:B22)</f>
        <v>1101</v>
      </c>
      <c r="C23" s="185">
        <f aca="true" t="shared" si="4" ref="C23:M23">SUM(C14:C22)</f>
        <v>1114</v>
      </c>
      <c r="D23" s="185">
        <f t="shared" si="4"/>
        <v>1186</v>
      </c>
      <c r="E23" s="185">
        <f t="shared" si="4"/>
        <v>120</v>
      </c>
      <c r="F23" s="185">
        <f t="shared" si="4"/>
        <v>114</v>
      </c>
      <c r="G23" s="185">
        <f t="shared" si="4"/>
        <v>111</v>
      </c>
      <c r="H23" s="185"/>
      <c r="I23" s="185"/>
      <c r="J23" s="185"/>
      <c r="K23" s="185">
        <f t="shared" si="4"/>
        <v>0</v>
      </c>
      <c r="L23" s="185">
        <f t="shared" si="4"/>
        <v>529</v>
      </c>
      <c r="M23" s="185">
        <f t="shared" si="4"/>
        <v>529</v>
      </c>
      <c r="N23" s="185">
        <f t="shared" si="1"/>
        <v>1221</v>
      </c>
      <c r="O23" s="185">
        <f t="shared" si="2"/>
        <v>1757</v>
      </c>
      <c r="P23" s="185">
        <f t="shared" si="0"/>
        <v>1826</v>
      </c>
      <c r="Q23" s="371"/>
    </row>
    <row r="24" spans="1:20" ht="19.5" customHeight="1">
      <c r="A24" s="182" t="s">
        <v>94</v>
      </c>
      <c r="B24" s="185">
        <f aca="true" t="shared" si="5" ref="B24:G24">SUM(B13+B23)</f>
        <v>4811</v>
      </c>
      <c r="C24" s="185">
        <f t="shared" si="5"/>
        <v>4824</v>
      </c>
      <c r="D24" s="185">
        <f t="shared" si="5"/>
        <v>4896</v>
      </c>
      <c r="E24" s="185">
        <f t="shared" si="5"/>
        <v>2352</v>
      </c>
      <c r="F24" s="185">
        <f t="shared" si="5"/>
        <v>2346</v>
      </c>
      <c r="G24" s="185">
        <f t="shared" si="5"/>
        <v>2325</v>
      </c>
      <c r="H24" s="185"/>
      <c r="I24" s="185"/>
      <c r="J24" s="185"/>
      <c r="K24" s="185">
        <f>SUM(K13+K23)</f>
        <v>100</v>
      </c>
      <c r="L24" s="185">
        <f>SUM(L13+L23)</f>
        <v>1519</v>
      </c>
      <c r="M24" s="185">
        <f>SUM(M13+M23)</f>
        <v>1468</v>
      </c>
      <c r="N24" s="185">
        <f t="shared" si="1"/>
        <v>7263</v>
      </c>
      <c r="O24" s="185">
        <f t="shared" si="2"/>
        <v>8689</v>
      </c>
      <c r="P24" s="185">
        <f t="shared" si="0"/>
        <v>8689</v>
      </c>
      <c r="Q24" s="371"/>
      <c r="S24" s="184"/>
      <c r="T24" s="184"/>
    </row>
    <row r="25" spans="1:14" ht="19.5" customHeight="1">
      <c r="A25" s="28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16" ht="19.5" customHeight="1">
      <c r="A26" s="459" t="s">
        <v>397</v>
      </c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</row>
    <row r="27" spans="1:16" ht="15.75">
      <c r="A27" s="443" t="s">
        <v>470</v>
      </c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</row>
    <row r="28" spans="2:16" ht="15.7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440" t="s">
        <v>269</v>
      </c>
      <c r="O28" s="440"/>
      <c r="P28" s="440"/>
    </row>
    <row r="29" spans="1:16" ht="12.75">
      <c r="A29" s="437" t="s">
        <v>20</v>
      </c>
      <c r="B29" s="447" t="s">
        <v>88</v>
      </c>
      <c r="C29" s="447"/>
      <c r="D29" s="447"/>
      <c r="E29" s="447"/>
      <c r="F29" s="447"/>
      <c r="G29" s="447"/>
      <c r="H29" s="447" t="s">
        <v>208</v>
      </c>
      <c r="I29" s="447"/>
      <c r="J29" s="447"/>
      <c r="K29" s="447" t="s">
        <v>318</v>
      </c>
      <c r="L29" s="447"/>
      <c r="M29" s="449"/>
      <c r="N29" s="444" t="s">
        <v>165</v>
      </c>
      <c r="O29" s="445"/>
      <c r="P29" s="446"/>
    </row>
    <row r="30" spans="1:16" ht="11.25" customHeight="1">
      <c r="A30" s="437"/>
      <c r="B30" s="447" t="s">
        <v>212</v>
      </c>
      <c r="C30" s="447"/>
      <c r="D30" s="447"/>
      <c r="E30" s="447" t="s">
        <v>213</v>
      </c>
      <c r="F30" s="447"/>
      <c r="G30" s="447"/>
      <c r="H30" s="450"/>
      <c r="I30" s="451"/>
      <c r="J30" s="452"/>
      <c r="K30" s="448" t="s">
        <v>309</v>
      </c>
      <c r="L30" s="448"/>
      <c r="M30" s="449"/>
      <c r="N30" s="456" t="s">
        <v>321</v>
      </c>
      <c r="O30" s="457"/>
      <c r="P30" s="458"/>
    </row>
    <row r="31" spans="1:16" ht="12.75">
      <c r="A31" s="437"/>
      <c r="B31" s="447"/>
      <c r="C31" s="448"/>
      <c r="D31" s="447"/>
      <c r="E31" s="447"/>
      <c r="F31" s="448"/>
      <c r="G31" s="447"/>
      <c r="H31" s="453"/>
      <c r="I31" s="454"/>
      <c r="J31" s="455"/>
      <c r="K31" s="448"/>
      <c r="L31" s="448"/>
      <c r="M31" s="449"/>
      <c r="N31" s="460" t="s">
        <v>113</v>
      </c>
      <c r="O31" s="461"/>
      <c r="P31" s="462"/>
    </row>
    <row r="32" spans="1:16" ht="12.75">
      <c r="A32" s="179"/>
      <c r="B32" s="186" t="s">
        <v>305</v>
      </c>
      <c r="C32" s="186" t="s">
        <v>306</v>
      </c>
      <c r="D32" s="186" t="s">
        <v>308</v>
      </c>
      <c r="E32" s="186" t="s">
        <v>305</v>
      </c>
      <c r="F32" s="186" t="s">
        <v>306</v>
      </c>
      <c r="G32" s="186" t="s">
        <v>308</v>
      </c>
      <c r="H32" s="186" t="s">
        <v>305</v>
      </c>
      <c r="I32" s="186" t="s">
        <v>306</v>
      </c>
      <c r="J32" s="186" t="s">
        <v>308</v>
      </c>
      <c r="K32" s="186" t="s">
        <v>305</v>
      </c>
      <c r="L32" s="186" t="s">
        <v>306</v>
      </c>
      <c r="M32" s="186" t="s">
        <v>308</v>
      </c>
      <c r="N32" s="186" t="s">
        <v>305</v>
      </c>
      <c r="O32" s="186" t="s">
        <v>306</v>
      </c>
      <c r="P32" s="186" t="s">
        <v>308</v>
      </c>
    </row>
    <row r="33" spans="1:16" ht="18.75" customHeight="1">
      <c r="A33" s="187" t="s">
        <v>270</v>
      </c>
      <c r="B33" s="157">
        <f>B13*27%</f>
        <v>1001.7</v>
      </c>
      <c r="C33" s="181">
        <f>1745-624</f>
        <v>1121</v>
      </c>
      <c r="D33" s="181">
        <f>1708-624</f>
        <v>1084</v>
      </c>
      <c r="E33" s="181">
        <f>1610-B33</f>
        <v>608.3</v>
      </c>
      <c r="F33" s="181">
        <f>(2214*27%)+26</f>
        <v>623.7800000000001</v>
      </c>
      <c r="G33" s="181">
        <f>(G13+G18)*27%-3</f>
        <v>624.48</v>
      </c>
      <c r="H33" s="181">
        <v>151</v>
      </c>
      <c r="I33" s="181">
        <f>37+11</f>
        <v>48</v>
      </c>
      <c r="J33" s="181">
        <f>37+12</f>
        <v>49</v>
      </c>
      <c r="K33" s="181">
        <v>27</v>
      </c>
      <c r="L33" s="181">
        <v>199</v>
      </c>
      <c r="M33" s="181">
        <v>198</v>
      </c>
      <c r="N33" s="181">
        <f>B33+E33+H33+K33</f>
        <v>1788</v>
      </c>
      <c r="O33" s="181">
        <f>C33+F33+I33+L33</f>
        <v>1991.7800000000002</v>
      </c>
      <c r="P33" s="181">
        <f>D33+G33+J33+M33</f>
        <v>1955.48</v>
      </c>
    </row>
    <row r="34" spans="1:16" ht="12.75">
      <c r="A34" s="182" t="s">
        <v>95</v>
      </c>
      <c r="B34" s="112">
        <f aca="true" t="shared" si="6" ref="B34:P34">SUM(B33:B33)</f>
        <v>1001.7</v>
      </c>
      <c r="C34" s="112">
        <f t="shared" si="6"/>
        <v>1121</v>
      </c>
      <c r="D34" s="112">
        <f t="shared" si="6"/>
        <v>1084</v>
      </c>
      <c r="E34" s="112">
        <f t="shared" si="6"/>
        <v>608.3</v>
      </c>
      <c r="F34" s="112">
        <f t="shared" si="6"/>
        <v>623.7800000000001</v>
      </c>
      <c r="G34" s="112">
        <f t="shared" si="6"/>
        <v>624.48</v>
      </c>
      <c r="H34" s="112">
        <f>SUM(H33:H33)</f>
        <v>151</v>
      </c>
      <c r="I34" s="112">
        <f>SUM(I33:I33)</f>
        <v>48</v>
      </c>
      <c r="J34" s="112">
        <f>SUM(J33:J33)</f>
        <v>49</v>
      </c>
      <c r="K34" s="112">
        <f t="shared" si="6"/>
        <v>27</v>
      </c>
      <c r="L34" s="112">
        <f t="shared" si="6"/>
        <v>199</v>
      </c>
      <c r="M34" s="112">
        <f t="shared" si="6"/>
        <v>198</v>
      </c>
      <c r="N34" s="112">
        <f t="shared" si="6"/>
        <v>1788</v>
      </c>
      <c r="O34" s="112">
        <f t="shared" si="6"/>
        <v>1991.7800000000002</v>
      </c>
      <c r="P34" s="112">
        <f t="shared" si="6"/>
        <v>1955.48</v>
      </c>
    </row>
    <row r="35" spans="5:6" ht="12.75">
      <c r="E35" s="184"/>
      <c r="F35" s="184"/>
    </row>
  </sheetData>
  <sheetProtection/>
  <mergeCells count="30">
    <mergeCell ref="A1:P1"/>
    <mergeCell ref="A26:P26"/>
    <mergeCell ref="N31:P31"/>
    <mergeCell ref="H7:J7"/>
    <mergeCell ref="K7:M7"/>
    <mergeCell ref="K8:M8"/>
    <mergeCell ref="K9:M9"/>
    <mergeCell ref="N7:P7"/>
    <mergeCell ref="B30:D31"/>
    <mergeCell ref="B29:G29"/>
    <mergeCell ref="A29:A31"/>
    <mergeCell ref="A27:P27"/>
    <mergeCell ref="N28:P28"/>
    <mergeCell ref="N29:P29"/>
    <mergeCell ref="E30:G31"/>
    <mergeCell ref="K29:M29"/>
    <mergeCell ref="K30:M31"/>
    <mergeCell ref="H29:J29"/>
    <mergeCell ref="H30:J31"/>
    <mergeCell ref="N30:P30"/>
    <mergeCell ref="A2:P2"/>
    <mergeCell ref="A3:P3"/>
    <mergeCell ref="A4:P4"/>
    <mergeCell ref="A7:A9"/>
    <mergeCell ref="N8:P8"/>
    <mergeCell ref="N6:P6"/>
    <mergeCell ref="N9:P9"/>
    <mergeCell ref="B7:G7"/>
    <mergeCell ref="B8:D9"/>
    <mergeCell ref="E8:G9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24"/>
  <sheetViews>
    <sheetView zoomScalePageLayoutView="0" workbookViewId="0" topLeftCell="C3">
      <selection activeCell="S8" sqref="S8"/>
    </sheetView>
  </sheetViews>
  <sheetFormatPr defaultColWidth="9.00390625" defaultRowHeight="12.75"/>
  <cols>
    <col min="1" max="1" width="35.875" style="0" bestFit="1" customWidth="1"/>
    <col min="2" max="4" width="6.625" style="0" bestFit="1" customWidth="1"/>
    <col min="5" max="6" width="4.875" style="0" bestFit="1" customWidth="1"/>
    <col min="7" max="7" width="8.875" style="0" bestFit="1" customWidth="1"/>
    <col min="8" max="8" width="9.00390625" style="0" bestFit="1" customWidth="1"/>
    <col min="9" max="9" width="9.50390625" style="0" customWidth="1"/>
    <col min="10" max="11" width="7.875" style="0" bestFit="1" customWidth="1"/>
    <col min="12" max="12" width="7.625" style="0" customWidth="1"/>
    <col min="13" max="13" width="7.875" style="0" bestFit="1" customWidth="1"/>
    <col min="14" max="16" width="9.00390625" style="0" bestFit="1" customWidth="1"/>
  </cols>
  <sheetData>
    <row r="1" spans="1:16" ht="13.5" customHeight="1">
      <c r="A1" s="479" t="s">
        <v>377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</row>
    <row r="2" spans="1:16" ht="13.5" customHeight="1">
      <c r="A2" s="30"/>
      <c r="B2" s="30"/>
      <c r="C2" s="30"/>
      <c r="D2" s="30"/>
      <c r="K2" s="31"/>
      <c r="L2" s="31"/>
      <c r="M2" s="31"/>
      <c r="N2" s="31"/>
      <c r="O2" s="31"/>
      <c r="P2" s="31"/>
    </row>
    <row r="3" spans="1:16" ht="16.5" customHeight="1">
      <c r="A3" s="435" t="s">
        <v>77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4" spans="1:16" ht="14.25" customHeight="1">
      <c r="A4" s="436" t="str">
        <f>'Személyi j. 4,5'!A3:P3</f>
        <v>2012. évi zárása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</row>
    <row r="5" spans="1:16" ht="15.75">
      <c r="A5" s="435" t="s">
        <v>152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</row>
    <row r="6" spans="1:16" ht="15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9" ht="12.75">
      <c r="P9" s="405" t="s">
        <v>269</v>
      </c>
    </row>
    <row r="10" spans="1:16" ht="13.5" thickBot="1">
      <c r="A10" s="478" t="s">
        <v>176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</row>
    <row r="11" spans="1:16" ht="18.75" customHeight="1">
      <c r="A11" s="480" t="s">
        <v>20</v>
      </c>
      <c r="B11" s="486" t="s">
        <v>101</v>
      </c>
      <c r="C11" s="487"/>
      <c r="D11" s="488"/>
      <c r="E11" s="486" t="s">
        <v>120</v>
      </c>
      <c r="F11" s="487"/>
      <c r="G11" s="488"/>
      <c r="H11" s="469" t="s">
        <v>138</v>
      </c>
      <c r="I11" s="470"/>
      <c r="J11" s="471"/>
      <c r="K11" s="489" t="s">
        <v>382</v>
      </c>
      <c r="L11" s="490"/>
      <c r="M11" s="491"/>
      <c r="N11" s="472" t="s">
        <v>14</v>
      </c>
      <c r="O11" s="473"/>
      <c r="P11" s="474"/>
    </row>
    <row r="12" spans="1:16" ht="18.75" customHeight="1">
      <c r="A12" s="481"/>
      <c r="B12" s="466" t="s">
        <v>102</v>
      </c>
      <c r="C12" s="467"/>
      <c r="D12" s="468"/>
      <c r="E12" s="466" t="s">
        <v>89</v>
      </c>
      <c r="F12" s="467"/>
      <c r="G12" s="468"/>
      <c r="H12" s="483" t="s">
        <v>143</v>
      </c>
      <c r="I12" s="484"/>
      <c r="J12" s="485"/>
      <c r="K12" s="483" t="s">
        <v>143</v>
      </c>
      <c r="L12" s="484"/>
      <c r="M12" s="485"/>
      <c r="N12" s="475"/>
      <c r="O12" s="476"/>
      <c r="P12" s="477"/>
    </row>
    <row r="13" spans="1:16" ht="18.75" customHeight="1">
      <c r="A13" s="482"/>
      <c r="B13" s="65" t="s">
        <v>305</v>
      </c>
      <c r="C13" s="65" t="s">
        <v>306</v>
      </c>
      <c r="D13" s="65" t="s">
        <v>308</v>
      </c>
      <c r="E13" s="65" t="s">
        <v>305</v>
      </c>
      <c r="F13" s="65" t="s">
        <v>306</v>
      </c>
      <c r="G13" s="65" t="s">
        <v>308</v>
      </c>
      <c r="H13" s="65" t="s">
        <v>305</v>
      </c>
      <c r="I13" s="65" t="s">
        <v>306</v>
      </c>
      <c r="J13" s="65" t="s">
        <v>308</v>
      </c>
      <c r="K13" s="65" t="s">
        <v>305</v>
      </c>
      <c r="L13" s="65" t="s">
        <v>306</v>
      </c>
      <c r="M13" s="65" t="s">
        <v>308</v>
      </c>
      <c r="N13" s="65" t="s">
        <v>305</v>
      </c>
      <c r="O13" s="65" t="s">
        <v>306</v>
      </c>
      <c r="P13" s="380" t="s">
        <v>308</v>
      </c>
    </row>
    <row r="14" spans="1:16" s="371" customFormat="1" ht="18.75" customHeight="1">
      <c r="A14" s="374" t="s">
        <v>196</v>
      </c>
      <c r="B14" s="375">
        <f>'kÉSZLETBESZ. 6-a'!AC14</f>
        <v>0</v>
      </c>
      <c r="C14" s="375">
        <f>'kÉSZLETBESZ. 6-a'!AD14</f>
        <v>0</v>
      </c>
      <c r="D14" s="376">
        <f>'kÉSZLETBESZ. 6-a'!AE14</f>
        <v>0</v>
      </c>
      <c r="E14" s="110">
        <v>0</v>
      </c>
      <c r="F14" s="110">
        <v>0</v>
      </c>
      <c r="G14" s="110">
        <v>0</v>
      </c>
      <c r="H14" s="110">
        <v>6142</v>
      </c>
      <c r="I14" s="110">
        <f>'sZOLGÁLTATÁS 6-c'!AM23</f>
        <v>91235</v>
      </c>
      <c r="J14" s="110">
        <f>'sZOLGÁLTATÁS 6-c'!AN23</f>
        <v>91690</v>
      </c>
      <c r="K14" s="110">
        <v>1658</v>
      </c>
      <c r="L14" s="110">
        <f>'áfa   6-d'!X16</f>
        <v>24396</v>
      </c>
      <c r="M14" s="110">
        <f>'áfa   6-d'!Y16</f>
        <v>24549</v>
      </c>
      <c r="N14" s="377">
        <f>B14+E14+H14+K14</f>
        <v>7800</v>
      </c>
      <c r="O14" s="377">
        <f aca="true" t="shared" si="0" ref="O14:P19">C14+F14+I14+L14</f>
        <v>115631</v>
      </c>
      <c r="P14" s="381">
        <f t="shared" si="0"/>
        <v>116239</v>
      </c>
    </row>
    <row r="15" spans="1:16" s="371" customFormat="1" ht="18.75" customHeight="1">
      <c r="A15" s="374" t="s">
        <v>197</v>
      </c>
      <c r="B15" s="375">
        <f>'kÉSZLETBESZ. 6-a'!AC15</f>
        <v>0</v>
      </c>
      <c r="C15" s="375">
        <f>'kÉSZLETBESZ. 6-a'!AD15</f>
        <v>0</v>
      </c>
      <c r="D15" s="376">
        <f>'kÉSZLETBESZ. 6-a'!AE15</f>
        <v>0</v>
      </c>
      <c r="E15" s="110">
        <f>'kommunikációs   6-b'!K14</f>
        <v>0</v>
      </c>
      <c r="F15" s="110"/>
      <c r="G15" s="110">
        <f>'kommunikációs   6-b'!M14</f>
        <v>0</v>
      </c>
      <c r="H15" s="110">
        <f>'sZOLGÁLTATÁS 6-c'!AL24</f>
        <v>0</v>
      </c>
      <c r="I15" s="110"/>
      <c r="J15" s="110"/>
      <c r="K15" s="110">
        <f>'áfa   6-d'!W17</f>
        <v>0</v>
      </c>
      <c r="L15" s="110">
        <f>'áfa   6-d'!X17</f>
        <v>0</v>
      </c>
      <c r="M15" s="110"/>
      <c r="N15" s="377">
        <f aca="true" t="shared" si="1" ref="N15:P23">B15+E15+H15+K15</f>
        <v>0</v>
      </c>
      <c r="O15" s="377">
        <f t="shared" si="0"/>
        <v>0</v>
      </c>
      <c r="P15" s="381">
        <f t="shared" si="0"/>
        <v>0</v>
      </c>
    </row>
    <row r="16" spans="1:16" s="371" customFormat="1" ht="18.75" customHeight="1">
      <c r="A16" s="374" t="s">
        <v>198</v>
      </c>
      <c r="B16" s="375">
        <f>'kÉSZLETBESZ. 6-a'!AC16</f>
        <v>1670</v>
      </c>
      <c r="C16" s="375">
        <f>'kÉSZLETBESZ. 6-a'!AD16</f>
        <v>2048</v>
      </c>
      <c r="D16" s="376">
        <f>'kÉSZLETBESZ. 6-a'!AE16</f>
        <v>1162</v>
      </c>
      <c r="E16" s="110">
        <f>'kommunikációs   6-b'!K15</f>
        <v>420</v>
      </c>
      <c r="F16" s="110">
        <f>'kommunikációs   6-b'!L15</f>
        <v>420</v>
      </c>
      <c r="G16" s="110">
        <f>'kommunikációs   6-b'!M15</f>
        <v>157</v>
      </c>
      <c r="H16" s="110">
        <f>'sZOLGÁLTATÁS 6-c'!AL25</f>
        <v>6452</v>
      </c>
      <c r="I16" s="110">
        <v>7684</v>
      </c>
      <c r="J16" s="110">
        <f>'sZOLGÁLTATÁS 6-c'!AN25</f>
        <v>4834</v>
      </c>
      <c r="K16" s="110">
        <f>'áfa   6-d'!W18</f>
        <v>2815</v>
      </c>
      <c r="L16" s="110">
        <f>'áfa   6-d'!X18</f>
        <v>3073</v>
      </c>
      <c r="M16" s="110">
        <f>'áfa   6-d'!Y18</f>
        <v>1293</v>
      </c>
      <c r="N16" s="377">
        <f t="shared" si="1"/>
        <v>11357</v>
      </c>
      <c r="O16" s="377">
        <f t="shared" si="0"/>
        <v>13225</v>
      </c>
      <c r="P16" s="381">
        <f t="shared" si="0"/>
        <v>7446</v>
      </c>
    </row>
    <row r="17" spans="1:16" s="371" customFormat="1" ht="18.75" customHeight="1">
      <c r="A17" s="374" t="s">
        <v>199</v>
      </c>
      <c r="B17" s="375">
        <f>'kÉSZLETBESZ. 6-a'!AC17</f>
        <v>0</v>
      </c>
      <c r="C17" s="375">
        <f>'kÉSZLETBESZ. 6-a'!AD17</f>
        <v>0</v>
      </c>
      <c r="D17" s="376">
        <f>'kÉSZLETBESZ. 6-a'!AE17</f>
        <v>0</v>
      </c>
      <c r="E17" s="110">
        <f>'kommunikációs   6-b'!K16</f>
        <v>0</v>
      </c>
      <c r="F17" s="110"/>
      <c r="G17" s="110">
        <f>'kommunikációs   6-b'!M16</f>
        <v>0</v>
      </c>
      <c r="H17" s="110">
        <f>'sZOLGÁLTATÁS 6-c'!AL26</f>
        <v>1310</v>
      </c>
      <c r="I17" s="110">
        <f>'sZOLGÁLTATÁS 6-c'!AM26</f>
        <v>1310</v>
      </c>
      <c r="J17" s="110">
        <f>'sZOLGÁLTATÁS 6-c'!AN26</f>
        <v>1193</v>
      </c>
      <c r="K17" s="110">
        <f>'áfa   6-d'!W19</f>
        <v>354</v>
      </c>
      <c r="L17" s="110">
        <f>'áfa   6-d'!X19</f>
        <v>354</v>
      </c>
      <c r="M17" s="110">
        <f>'áfa   6-d'!Y19</f>
        <v>321</v>
      </c>
      <c r="N17" s="377">
        <f t="shared" si="1"/>
        <v>1664</v>
      </c>
      <c r="O17" s="377">
        <f t="shared" si="0"/>
        <v>1664</v>
      </c>
      <c r="P17" s="381">
        <f t="shared" si="0"/>
        <v>1514</v>
      </c>
    </row>
    <row r="18" spans="1:16" s="371" customFormat="1" ht="19.5" customHeight="1">
      <c r="A18" s="374" t="s">
        <v>204</v>
      </c>
      <c r="B18" s="375">
        <f>'kÉSZLETBESZ. 6-a'!AC18</f>
        <v>0</v>
      </c>
      <c r="C18" s="375">
        <f>'kÉSZLETBESZ. 6-a'!AD18</f>
        <v>0</v>
      </c>
      <c r="D18" s="376">
        <f>'kÉSZLETBESZ. 6-a'!AE18</f>
        <v>0</v>
      </c>
      <c r="E18" s="110">
        <f>'kommunikációs   6-b'!K17</f>
        <v>0</v>
      </c>
      <c r="F18" s="110"/>
      <c r="G18" s="110">
        <f>'kommunikációs   6-b'!M17</f>
        <v>0</v>
      </c>
      <c r="H18" s="110">
        <f>'sZOLGÁLTATÁS 6-c'!AL27</f>
        <v>0</v>
      </c>
      <c r="I18" s="110"/>
      <c r="J18" s="110"/>
      <c r="K18" s="110">
        <f>'áfa   6-d'!W20</f>
        <v>10</v>
      </c>
      <c r="L18" s="110">
        <f>'áfa   6-d'!X20</f>
        <v>10</v>
      </c>
      <c r="M18" s="110"/>
      <c r="N18" s="377">
        <f t="shared" si="1"/>
        <v>10</v>
      </c>
      <c r="O18" s="377">
        <f t="shared" si="0"/>
        <v>10</v>
      </c>
      <c r="P18" s="381">
        <f t="shared" si="0"/>
        <v>0</v>
      </c>
    </row>
    <row r="19" spans="1:16" s="371" customFormat="1" ht="18.75" customHeight="1">
      <c r="A19" s="374" t="s">
        <v>200</v>
      </c>
      <c r="B19" s="375">
        <f>'kÉSZLETBESZ. 6-a'!AC19</f>
        <v>50</v>
      </c>
      <c r="C19" s="375">
        <f>'kÉSZLETBESZ. 6-a'!AD19</f>
        <v>50</v>
      </c>
      <c r="D19" s="376">
        <f>'kÉSZLETBESZ. 6-a'!AE19</f>
        <v>66</v>
      </c>
      <c r="E19" s="110">
        <f>'kommunikációs   6-b'!K18</f>
        <v>75</v>
      </c>
      <c r="F19" s="110">
        <f>'kommunikációs   6-b'!L18</f>
        <v>75</v>
      </c>
      <c r="G19" s="110">
        <f>'kommunikációs   6-b'!M18</f>
        <v>57</v>
      </c>
      <c r="H19" s="110">
        <f>'sZOLGÁLTATÁS 6-c'!AL28</f>
        <v>405</v>
      </c>
      <c r="I19" s="110">
        <f>'sZOLGÁLTATÁS 6-c'!AM28</f>
        <v>405</v>
      </c>
      <c r="J19" s="110">
        <f>'sZOLGÁLTATÁS 6-c'!AN28</f>
        <v>446</v>
      </c>
      <c r="K19" s="110">
        <f>'áfa   6-d'!W21</f>
        <v>143</v>
      </c>
      <c r="L19" s="110">
        <f>'áfa   6-d'!X21</f>
        <v>151</v>
      </c>
      <c r="M19" s="110">
        <f>'áfa   6-d'!Y21</f>
        <v>151</v>
      </c>
      <c r="N19" s="377">
        <f t="shared" si="1"/>
        <v>673</v>
      </c>
      <c r="O19" s="377">
        <f t="shared" si="0"/>
        <v>681</v>
      </c>
      <c r="P19" s="381">
        <f t="shared" si="0"/>
        <v>720</v>
      </c>
    </row>
    <row r="20" spans="1:16" s="371" customFormat="1" ht="18.75" customHeight="1">
      <c r="A20" s="374" t="s">
        <v>201</v>
      </c>
      <c r="B20" s="375">
        <f>'kÉSZLETBESZ. 6-a'!AC20</f>
        <v>130</v>
      </c>
      <c r="C20" s="375">
        <f>'kÉSZLETBESZ. 6-a'!AD20</f>
        <v>0</v>
      </c>
      <c r="D20" s="376">
        <f>'kÉSZLETBESZ. 6-a'!AE20</f>
        <v>0</v>
      </c>
      <c r="E20" s="110">
        <f>'kommunikációs   6-b'!K19</f>
        <v>0</v>
      </c>
      <c r="F20" s="110"/>
      <c r="G20" s="110">
        <f>'kommunikációs   6-b'!M19</f>
        <v>0</v>
      </c>
      <c r="H20" s="110">
        <f>'sZOLGÁLTATÁS 6-c'!AL29</f>
        <v>0</v>
      </c>
      <c r="I20" s="110">
        <f>'sZOLGÁLTATÁS 6-c'!AM29</f>
        <v>0</v>
      </c>
      <c r="J20" s="110">
        <f>'sZOLGÁLTATÁS 6-c'!AN29</f>
        <v>0</v>
      </c>
      <c r="K20" s="110">
        <f>'áfa   6-d'!W22</f>
        <v>35</v>
      </c>
      <c r="L20" s="110">
        <f>'áfa   6-d'!X22</f>
        <v>0</v>
      </c>
      <c r="M20" s="110">
        <f>'áfa   6-d'!Y22</f>
        <v>0</v>
      </c>
      <c r="N20" s="377">
        <f t="shared" si="1"/>
        <v>165</v>
      </c>
      <c r="O20" s="377">
        <f t="shared" si="1"/>
        <v>0</v>
      </c>
      <c r="P20" s="381">
        <f t="shared" si="1"/>
        <v>0</v>
      </c>
    </row>
    <row r="21" spans="1:16" s="371" customFormat="1" ht="18.75" customHeight="1">
      <c r="A21" s="374" t="s">
        <v>206</v>
      </c>
      <c r="B21" s="375">
        <f>'kÉSZLETBESZ. 6-a'!AC21</f>
        <v>130</v>
      </c>
      <c r="C21" s="375">
        <f>'kÉSZLETBESZ. 6-a'!AD21</f>
        <v>260</v>
      </c>
      <c r="D21" s="376">
        <f>'kÉSZLETBESZ. 6-a'!AE21</f>
        <v>62</v>
      </c>
      <c r="E21" s="110">
        <f>'kommunikációs   6-b'!K20</f>
        <v>0</v>
      </c>
      <c r="F21" s="110"/>
      <c r="G21" s="110">
        <f>'kommunikációs   6-b'!M20</f>
        <v>0</v>
      </c>
      <c r="H21" s="110">
        <f>'sZOLGÁLTATÁS 6-c'!AL30</f>
        <v>0</v>
      </c>
      <c r="I21" s="110">
        <f>'sZOLGÁLTATÁS 6-c'!AM30</f>
        <v>7</v>
      </c>
      <c r="J21" s="110">
        <f>'sZOLGÁLTATÁS 6-c'!AN30</f>
        <v>7</v>
      </c>
      <c r="K21" s="110">
        <f>'áfa   6-d'!W23</f>
        <v>35</v>
      </c>
      <c r="L21" s="110">
        <f>'áfa   6-d'!X23</f>
        <v>70</v>
      </c>
      <c r="M21" s="110">
        <f>'áfa   6-d'!Y23</f>
        <v>19</v>
      </c>
      <c r="N21" s="377">
        <f t="shared" si="1"/>
        <v>165</v>
      </c>
      <c r="O21" s="377">
        <f t="shared" si="1"/>
        <v>337</v>
      </c>
      <c r="P21" s="381">
        <f t="shared" si="1"/>
        <v>88</v>
      </c>
    </row>
    <row r="22" spans="1:16" s="371" customFormat="1" ht="18.75" customHeight="1">
      <c r="A22" s="374" t="s">
        <v>202</v>
      </c>
      <c r="B22" s="375">
        <f>'kÉSZLETBESZ. 6-a'!AC22</f>
        <v>310</v>
      </c>
      <c r="C22" s="375">
        <f>'kÉSZLETBESZ. 6-a'!AD22</f>
        <v>379</v>
      </c>
      <c r="D22" s="376">
        <f>'kÉSZLETBESZ. 6-a'!AE22</f>
        <v>321</v>
      </c>
      <c r="E22" s="110">
        <f>'kommunikációs   6-b'!K21</f>
        <v>90</v>
      </c>
      <c r="F22" s="110">
        <f>'kommunikációs   6-b'!L21</f>
        <v>90</v>
      </c>
      <c r="G22" s="110">
        <f>'kommunikációs   6-b'!M21</f>
        <v>92</v>
      </c>
      <c r="H22" s="110">
        <f>'sZOLGÁLTATÁS 6-c'!AL31</f>
        <v>2035</v>
      </c>
      <c r="I22" s="110">
        <f>'sZOLGÁLTATÁS 6-c'!AM31</f>
        <v>2035</v>
      </c>
      <c r="J22" s="110">
        <f>'sZOLGÁLTATÁS 6-c'!AN31</f>
        <v>1064</v>
      </c>
      <c r="K22" s="110">
        <f>'áfa   6-d'!W24</f>
        <v>779</v>
      </c>
      <c r="L22" s="110">
        <f>'áfa   6-d'!X24</f>
        <v>779</v>
      </c>
      <c r="M22" s="110">
        <f>'áfa   6-d'!Y24</f>
        <v>351</v>
      </c>
      <c r="N22" s="377">
        <f t="shared" si="1"/>
        <v>3214</v>
      </c>
      <c r="O22" s="377">
        <f t="shared" si="1"/>
        <v>3283</v>
      </c>
      <c r="P22" s="381">
        <f t="shared" si="1"/>
        <v>1828</v>
      </c>
    </row>
    <row r="23" spans="1:16" s="371" customFormat="1" ht="18.75" customHeight="1">
      <c r="A23" s="374" t="s">
        <v>203</v>
      </c>
      <c r="B23" s="375">
        <f>'kÉSZLETBESZ. 6-a'!AC23</f>
        <v>0</v>
      </c>
      <c r="C23" s="375">
        <f>'kÉSZLETBESZ. 6-a'!AD23</f>
        <v>0</v>
      </c>
      <c r="D23" s="376">
        <f>'kÉSZLETBESZ. 6-a'!AE23</f>
        <v>0</v>
      </c>
      <c r="E23" s="110">
        <f>'kommunikációs   6-b'!K22</f>
        <v>0</v>
      </c>
      <c r="F23" s="110">
        <v>0</v>
      </c>
      <c r="G23" s="110">
        <f>'kommunikációs   6-b'!M22</f>
        <v>0</v>
      </c>
      <c r="H23" s="110">
        <f>'sZOLGÁLTATÁS 6-c'!AL33</f>
        <v>175</v>
      </c>
      <c r="I23" s="110">
        <f>'sZOLGÁLTATÁS 6-c'!AM33</f>
        <v>175</v>
      </c>
      <c r="J23" s="110">
        <f>'sZOLGÁLTATÁS 6-c'!AN33</f>
        <v>64</v>
      </c>
      <c r="K23" s="110">
        <f>'áfa   6-d'!W25</f>
        <v>47</v>
      </c>
      <c r="L23" s="110">
        <f>'áfa   6-d'!X25</f>
        <v>47</v>
      </c>
      <c r="M23" s="110">
        <f>'áfa   6-d'!Y25</f>
        <v>17</v>
      </c>
      <c r="N23" s="377">
        <f t="shared" si="1"/>
        <v>222</v>
      </c>
      <c r="O23" s="377">
        <f t="shared" si="1"/>
        <v>222</v>
      </c>
      <c r="P23" s="381">
        <f t="shared" si="1"/>
        <v>81</v>
      </c>
    </row>
    <row r="24" spans="1:16" s="371" customFormat="1" ht="18.75" customHeight="1" thickBot="1">
      <c r="A24" s="378" t="s">
        <v>78</v>
      </c>
      <c r="B24" s="379">
        <f>SUM(B14:B23)</f>
        <v>2290</v>
      </c>
      <c r="C24" s="379">
        <f aca="true" t="shared" si="2" ref="C24:P24">SUM(C14:C23)</f>
        <v>2737</v>
      </c>
      <c r="D24" s="379">
        <f t="shared" si="2"/>
        <v>1611</v>
      </c>
      <c r="E24" s="379">
        <f t="shared" si="2"/>
        <v>585</v>
      </c>
      <c r="F24" s="379">
        <f t="shared" si="2"/>
        <v>585</v>
      </c>
      <c r="G24" s="379">
        <f t="shared" si="2"/>
        <v>306</v>
      </c>
      <c r="H24" s="379">
        <f t="shared" si="2"/>
        <v>16519</v>
      </c>
      <c r="I24" s="379">
        <f t="shared" si="2"/>
        <v>102851</v>
      </c>
      <c r="J24" s="379">
        <f t="shared" si="2"/>
        <v>99298</v>
      </c>
      <c r="K24" s="379">
        <f t="shared" si="2"/>
        <v>5876</v>
      </c>
      <c r="L24" s="379">
        <f t="shared" si="2"/>
        <v>28880</v>
      </c>
      <c r="M24" s="379">
        <f t="shared" si="2"/>
        <v>26701</v>
      </c>
      <c r="N24" s="379">
        <f t="shared" si="2"/>
        <v>25270</v>
      </c>
      <c r="O24" s="379">
        <f t="shared" si="2"/>
        <v>135053</v>
      </c>
      <c r="P24" s="382">
        <f t="shared" si="2"/>
        <v>127916</v>
      </c>
    </row>
  </sheetData>
  <sheetProtection/>
  <mergeCells count="15">
    <mergeCell ref="A1:P1"/>
    <mergeCell ref="A4:P4"/>
    <mergeCell ref="A11:A13"/>
    <mergeCell ref="H12:J12"/>
    <mergeCell ref="B12:D12"/>
    <mergeCell ref="A3:P3"/>
    <mergeCell ref="E11:G11"/>
    <mergeCell ref="K11:M11"/>
    <mergeCell ref="K12:M12"/>
    <mergeCell ref="B11:D11"/>
    <mergeCell ref="A5:P5"/>
    <mergeCell ref="E12:G12"/>
    <mergeCell ref="H11:J11"/>
    <mergeCell ref="N11:P12"/>
    <mergeCell ref="A10:P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E37"/>
  <sheetViews>
    <sheetView zoomScale="90" zoomScaleNormal="90" zoomScalePageLayoutView="0" workbookViewId="0" topLeftCell="A5">
      <selection activeCell="A4" sqref="A4:AE4"/>
    </sheetView>
  </sheetViews>
  <sheetFormatPr defaultColWidth="9.00390625" defaultRowHeight="12.75"/>
  <cols>
    <col min="1" max="1" width="35.50390625" style="0" bestFit="1" customWidth="1"/>
    <col min="2" max="2" width="3.125" style="0" bestFit="1" customWidth="1"/>
    <col min="3" max="3" width="3.875" style="0" bestFit="1" customWidth="1"/>
    <col min="4" max="4" width="5.625" style="0" bestFit="1" customWidth="1"/>
    <col min="5" max="6" width="5.00390625" style="0" bestFit="1" customWidth="1"/>
    <col min="7" max="7" width="5.625" style="0" bestFit="1" customWidth="1"/>
    <col min="8" max="9" width="5.00390625" style="0" bestFit="1" customWidth="1"/>
    <col min="10" max="10" width="7.50390625" style="0" bestFit="1" customWidth="1"/>
    <col min="11" max="11" width="3.875" style="0" bestFit="1" customWidth="1"/>
    <col min="12" max="12" width="3.50390625" style="0" bestFit="1" customWidth="1"/>
    <col min="13" max="13" width="5.625" style="0" bestFit="1" customWidth="1"/>
    <col min="14" max="15" width="5.00390625" style="0" bestFit="1" customWidth="1"/>
    <col min="16" max="16" width="5.625" style="0" bestFit="1" customWidth="1"/>
    <col min="17" max="17" width="3.125" style="0" bestFit="1" customWidth="1"/>
    <col min="18" max="18" width="2.875" style="0" bestFit="1" customWidth="1"/>
    <col min="19" max="19" width="5.625" style="0" bestFit="1" customWidth="1"/>
    <col min="20" max="21" width="5.00390625" style="0" bestFit="1" customWidth="1"/>
    <col min="22" max="22" width="5.625" style="0" bestFit="1" customWidth="1"/>
    <col min="23" max="24" width="3.875" style="0" bestFit="1" customWidth="1"/>
    <col min="25" max="25" width="5.625" style="0" bestFit="1" customWidth="1"/>
    <col min="26" max="26" width="6.875" style="0" bestFit="1" customWidth="1"/>
    <col min="27" max="27" width="6.375" style="0" bestFit="1" customWidth="1"/>
    <col min="28" max="28" width="5.625" style="0" bestFit="1" customWidth="1"/>
    <col min="29" max="31" width="6.875" style="0" bestFit="1" customWidth="1"/>
  </cols>
  <sheetData>
    <row r="1" spans="1:31" ht="15.75">
      <c r="A1" s="30"/>
      <c r="B1" s="30"/>
      <c r="C1" s="30"/>
      <c r="D1" s="30"/>
      <c r="K1" s="31"/>
      <c r="L1" s="31"/>
      <c r="M1" s="31"/>
      <c r="N1" s="31"/>
      <c r="O1" s="31"/>
      <c r="P1" s="31"/>
      <c r="W1" s="511" t="s">
        <v>473</v>
      </c>
      <c r="X1" s="511"/>
      <c r="Y1" s="511"/>
      <c r="Z1" s="511"/>
      <c r="AA1" s="511"/>
      <c r="AB1" s="511"/>
      <c r="AC1" s="511"/>
      <c r="AD1" s="511"/>
      <c r="AE1" s="511"/>
    </row>
    <row r="3" spans="1:31" ht="15.75">
      <c r="A3" s="435" t="s">
        <v>77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</row>
    <row r="4" spans="1:31" ht="15.75">
      <c r="A4" s="436" t="str">
        <f>'DOLOGI ÖSSZ 6'!A4:P4</f>
        <v>2012. évi zárása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</row>
    <row r="5" spans="1:31" ht="15.75">
      <c r="A5" s="435" t="s">
        <v>96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</row>
    <row r="6" spans="1:31" ht="15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1:31" ht="15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</row>
    <row r="8" spans="1:31" ht="15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1" ht="15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492" t="s">
        <v>269</v>
      </c>
      <c r="AC9" s="492"/>
      <c r="AD9" s="492"/>
      <c r="AE9" s="492"/>
    </row>
    <row r="10" spans="1:31" ht="12.75">
      <c r="A10" s="508" t="s">
        <v>20</v>
      </c>
      <c r="B10" s="512" t="s">
        <v>97</v>
      </c>
      <c r="C10" s="513"/>
      <c r="D10" s="514"/>
      <c r="E10" s="493" t="s">
        <v>98</v>
      </c>
      <c r="F10" s="494"/>
      <c r="G10" s="495"/>
      <c r="H10" s="493" t="s">
        <v>324</v>
      </c>
      <c r="I10" s="494"/>
      <c r="J10" s="495"/>
      <c r="K10" s="493" t="s">
        <v>74</v>
      </c>
      <c r="L10" s="494"/>
      <c r="M10" s="495"/>
      <c r="N10" s="512" t="s">
        <v>325</v>
      </c>
      <c r="O10" s="513"/>
      <c r="P10" s="514"/>
      <c r="Q10" s="493" t="s">
        <v>99</v>
      </c>
      <c r="R10" s="494"/>
      <c r="S10" s="495"/>
      <c r="T10" s="493" t="s">
        <v>326</v>
      </c>
      <c r="U10" s="494"/>
      <c r="V10" s="495"/>
      <c r="W10" s="493" t="s">
        <v>100</v>
      </c>
      <c r="X10" s="494"/>
      <c r="Y10" s="495"/>
      <c r="Z10" s="499" t="s">
        <v>74</v>
      </c>
      <c r="AA10" s="500"/>
      <c r="AB10" s="501"/>
      <c r="AC10" s="499" t="s">
        <v>101</v>
      </c>
      <c r="AD10" s="500"/>
      <c r="AE10" s="501"/>
    </row>
    <row r="11" spans="1:31" ht="12.75">
      <c r="A11" s="509"/>
      <c r="B11" s="515" t="s">
        <v>381</v>
      </c>
      <c r="C11" s="516"/>
      <c r="D11" s="517"/>
      <c r="E11" s="515" t="s">
        <v>103</v>
      </c>
      <c r="F11" s="516"/>
      <c r="G11" s="517"/>
      <c r="H11" s="502" t="s">
        <v>104</v>
      </c>
      <c r="I11" s="503"/>
      <c r="J11" s="504"/>
      <c r="K11" s="496" t="s">
        <v>105</v>
      </c>
      <c r="L11" s="497"/>
      <c r="M11" s="498"/>
      <c r="N11" s="515" t="s">
        <v>106</v>
      </c>
      <c r="O11" s="516"/>
      <c r="P11" s="517"/>
      <c r="Q11" s="496" t="s">
        <v>107</v>
      </c>
      <c r="R11" s="497"/>
      <c r="S11" s="498"/>
      <c r="T11" s="496" t="s">
        <v>344</v>
      </c>
      <c r="U11" s="497"/>
      <c r="V11" s="498"/>
      <c r="W11" s="496" t="s">
        <v>108</v>
      </c>
      <c r="X11" s="497"/>
      <c r="Y11" s="498"/>
      <c r="Z11" s="502" t="s">
        <v>109</v>
      </c>
      <c r="AA11" s="503"/>
      <c r="AB11" s="504"/>
      <c r="AC11" s="502" t="s">
        <v>102</v>
      </c>
      <c r="AD11" s="503"/>
      <c r="AE11" s="504"/>
    </row>
    <row r="12" spans="1:31" ht="12.75">
      <c r="A12" s="510"/>
      <c r="B12" s="466" t="s">
        <v>102</v>
      </c>
      <c r="C12" s="467"/>
      <c r="D12" s="468"/>
      <c r="E12" s="466" t="s">
        <v>102</v>
      </c>
      <c r="F12" s="467"/>
      <c r="G12" s="468"/>
      <c r="H12" s="505" t="s">
        <v>102</v>
      </c>
      <c r="I12" s="506"/>
      <c r="J12" s="507"/>
      <c r="K12" s="483" t="s">
        <v>110</v>
      </c>
      <c r="L12" s="484"/>
      <c r="M12" s="485"/>
      <c r="N12" s="466" t="s">
        <v>111</v>
      </c>
      <c r="O12" s="467"/>
      <c r="P12" s="468"/>
      <c r="Q12" s="483" t="s">
        <v>112</v>
      </c>
      <c r="R12" s="484"/>
      <c r="S12" s="485"/>
      <c r="T12" s="483" t="s">
        <v>102</v>
      </c>
      <c r="U12" s="484"/>
      <c r="V12" s="485"/>
      <c r="W12" s="483" t="s">
        <v>102</v>
      </c>
      <c r="X12" s="484"/>
      <c r="Y12" s="485"/>
      <c r="Z12" s="505" t="s">
        <v>102</v>
      </c>
      <c r="AA12" s="506"/>
      <c r="AB12" s="507"/>
      <c r="AC12" s="505" t="s">
        <v>184</v>
      </c>
      <c r="AD12" s="506"/>
      <c r="AE12" s="507"/>
    </row>
    <row r="13" spans="1:31" ht="27.75" customHeight="1">
      <c r="A13" s="14"/>
      <c r="B13" s="384" t="s">
        <v>305</v>
      </c>
      <c r="C13" s="384" t="s">
        <v>306</v>
      </c>
      <c r="D13" s="384" t="s">
        <v>308</v>
      </c>
      <c r="E13" s="384" t="s">
        <v>305</v>
      </c>
      <c r="F13" s="384" t="s">
        <v>306</v>
      </c>
      <c r="G13" s="384" t="s">
        <v>308</v>
      </c>
      <c r="H13" s="384" t="s">
        <v>305</v>
      </c>
      <c r="I13" s="384" t="s">
        <v>306</v>
      </c>
      <c r="J13" s="384" t="s">
        <v>308</v>
      </c>
      <c r="K13" s="384" t="s">
        <v>305</v>
      </c>
      <c r="L13" s="384" t="s">
        <v>306</v>
      </c>
      <c r="M13" s="384" t="s">
        <v>308</v>
      </c>
      <c r="N13" s="384" t="s">
        <v>305</v>
      </c>
      <c r="O13" s="384" t="s">
        <v>306</v>
      </c>
      <c r="P13" s="384" t="s">
        <v>308</v>
      </c>
      <c r="Q13" s="384" t="s">
        <v>305</v>
      </c>
      <c r="R13" s="384" t="s">
        <v>306</v>
      </c>
      <c r="S13" s="384" t="s">
        <v>308</v>
      </c>
      <c r="T13" s="384" t="s">
        <v>305</v>
      </c>
      <c r="U13" s="384" t="s">
        <v>306</v>
      </c>
      <c r="V13" s="384" t="s">
        <v>308</v>
      </c>
      <c r="W13" s="384" t="s">
        <v>305</v>
      </c>
      <c r="X13" s="384" t="s">
        <v>306</v>
      </c>
      <c r="Y13" s="384" t="s">
        <v>308</v>
      </c>
      <c r="Z13" s="384" t="s">
        <v>305</v>
      </c>
      <c r="AA13" s="384" t="s">
        <v>306</v>
      </c>
      <c r="AB13" s="384" t="s">
        <v>308</v>
      </c>
      <c r="AC13" s="384" t="s">
        <v>305</v>
      </c>
      <c r="AD13" s="384" t="s">
        <v>306</v>
      </c>
      <c r="AE13" s="385" t="s">
        <v>308</v>
      </c>
    </row>
    <row r="14" spans="1:31" s="371" customFormat="1" ht="27.75" customHeight="1">
      <c r="A14" s="383" t="s">
        <v>322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>
        <f>B14+E14+H14+K14+N14+Q14+T14+W14+Z14</f>
        <v>0</v>
      </c>
      <c r="AD14" s="384">
        <f aca="true" t="shared" si="0" ref="AD14:AE19">C14+F14+I14+L14+O14+R14+U14+X14+AA14</f>
        <v>0</v>
      </c>
      <c r="AE14" s="385">
        <f t="shared" si="0"/>
        <v>0</v>
      </c>
    </row>
    <row r="15" spans="1:31" s="371" customFormat="1" ht="27.75" customHeight="1">
      <c r="A15" s="383" t="s">
        <v>323</v>
      </c>
      <c r="B15" s="386"/>
      <c r="C15" s="386"/>
      <c r="D15" s="386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4">
        <f aca="true" t="shared" si="1" ref="AC15:AE23">B15+E15+H15+K15+N15+Q15+T15+W15+Z15</f>
        <v>0</v>
      </c>
      <c r="AD15" s="384">
        <f t="shared" si="0"/>
        <v>0</v>
      </c>
      <c r="AE15" s="385">
        <f t="shared" si="0"/>
        <v>0</v>
      </c>
    </row>
    <row r="16" spans="1:31" s="371" customFormat="1" ht="27.75" customHeight="1">
      <c r="A16" s="383" t="s">
        <v>327</v>
      </c>
      <c r="B16" s="386">
        <v>0</v>
      </c>
      <c r="C16" s="386">
        <v>10</v>
      </c>
      <c r="D16" s="386">
        <v>6</v>
      </c>
      <c r="E16" s="110">
        <v>120</v>
      </c>
      <c r="F16" s="110">
        <v>120</v>
      </c>
      <c r="G16" s="110">
        <v>162</v>
      </c>
      <c r="H16" s="110">
        <v>500</v>
      </c>
      <c r="I16" s="110">
        <v>521</v>
      </c>
      <c r="J16" s="110">
        <v>21</v>
      </c>
      <c r="K16" s="110">
        <v>30</v>
      </c>
      <c r="L16" s="110">
        <v>30</v>
      </c>
      <c r="M16" s="110">
        <v>0</v>
      </c>
      <c r="N16" s="110">
        <v>100</v>
      </c>
      <c r="O16" s="110">
        <v>100</v>
      </c>
      <c r="P16" s="110">
        <v>186</v>
      </c>
      <c r="Q16" s="387">
        <v>0</v>
      </c>
      <c r="R16" s="387">
        <v>0</v>
      </c>
      <c r="S16" s="387">
        <v>0</v>
      </c>
      <c r="T16" s="387">
        <v>200</v>
      </c>
      <c r="U16" s="387">
        <v>200</v>
      </c>
      <c r="V16" s="387">
        <v>127</v>
      </c>
      <c r="W16" s="387">
        <v>20</v>
      </c>
      <c r="X16" s="387">
        <v>40</v>
      </c>
      <c r="Y16" s="387">
        <v>17</v>
      </c>
      <c r="Z16" s="387">
        <v>700</v>
      </c>
      <c r="AA16" s="387">
        <v>1027</v>
      </c>
      <c r="AB16" s="387">
        <v>643</v>
      </c>
      <c r="AC16" s="384">
        <f t="shared" si="1"/>
        <v>1670</v>
      </c>
      <c r="AD16" s="384">
        <f t="shared" si="0"/>
        <v>2048</v>
      </c>
      <c r="AE16" s="385">
        <f t="shared" si="0"/>
        <v>1162</v>
      </c>
    </row>
    <row r="17" spans="1:31" s="371" customFormat="1" ht="27.75" customHeight="1">
      <c r="A17" s="383" t="s">
        <v>199</v>
      </c>
      <c r="B17" s="386"/>
      <c r="C17" s="386"/>
      <c r="D17" s="386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4">
        <f t="shared" si="1"/>
        <v>0</v>
      </c>
      <c r="AD17" s="384">
        <f t="shared" si="0"/>
        <v>0</v>
      </c>
      <c r="AE17" s="385">
        <f t="shared" si="0"/>
        <v>0</v>
      </c>
    </row>
    <row r="18" spans="1:31" s="371" customFormat="1" ht="27.75" customHeight="1">
      <c r="A18" s="383" t="s">
        <v>204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4">
        <f t="shared" si="1"/>
        <v>0</v>
      </c>
      <c r="AD18" s="384">
        <f t="shared" si="0"/>
        <v>0</v>
      </c>
      <c r="AE18" s="385">
        <f t="shared" si="0"/>
        <v>0</v>
      </c>
    </row>
    <row r="19" spans="1:31" s="371" customFormat="1" ht="27.75" customHeight="1">
      <c r="A19" s="383" t="s">
        <v>200</v>
      </c>
      <c r="B19" s="386"/>
      <c r="C19" s="386">
        <v>0</v>
      </c>
      <c r="D19" s="386">
        <v>4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387"/>
      <c r="R19" s="387"/>
      <c r="S19" s="387"/>
      <c r="T19" s="387"/>
      <c r="U19" s="387"/>
      <c r="V19" s="387">
        <v>62</v>
      </c>
      <c r="W19" s="387"/>
      <c r="X19" s="387"/>
      <c r="Y19" s="387"/>
      <c r="Z19" s="387">
        <v>50</v>
      </c>
      <c r="AA19" s="387">
        <v>50</v>
      </c>
      <c r="AB19" s="387"/>
      <c r="AC19" s="384">
        <f t="shared" si="1"/>
        <v>50</v>
      </c>
      <c r="AD19" s="384">
        <f t="shared" si="0"/>
        <v>50</v>
      </c>
      <c r="AE19" s="385">
        <f t="shared" si="0"/>
        <v>66</v>
      </c>
    </row>
    <row r="20" spans="1:31" s="371" customFormat="1" ht="27.75" customHeight="1">
      <c r="A20" s="383" t="s">
        <v>201</v>
      </c>
      <c r="B20" s="386"/>
      <c r="C20" s="386"/>
      <c r="D20" s="386"/>
      <c r="E20" s="110"/>
      <c r="F20" s="110"/>
      <c r="G20" s="110"/>
      <c r="H20" s="110"/>
      <c r="I20" s="110"/>
      <c r="J20" s="110"/>
      <c r="K20" s="110"/>
      <c r="L20" s="110"/>
      <c r="M20" s="110"/>
      <c r="N20" s="110">
        <v>100</v>
      </c>
      <c r="O20" s="110"/>
      <c r="P20" s="110">
        <v>0</v>
      </c>
      <c r="Q20" s="387"/>
      <c r="R20" s="387"/>
      <c r="S20" s="387"/>
      <c r="T20" s="387"/>
      <c r="U20" s="387"/>
      <c r="V20" s="387"/>
      <c r="W20" s="387">
        <v>5</v>
      </c>
      <c r="X20" s="387"/>
      <c r="Y20" s="387">
        <v>0</v>
      </c>
      <c r="Z20" s="387">
        <v>25</v>
      </c>
      <c r="AA20" s="387"/>
      <c r="AB20" s="387">
        <v>0</v>
      </c>
      <c r="AC20" s="384">
        <f t="shared" si="1"/>
        <v>130</v>
      </c>
      <c r="AD20" s="384">
        <f t="shared" si="1"/>
        <v>0</v>
      </c>
      <c r="AE20" s="385">
        <f t="shared" si="1"/>
        <v>0</v>
      </c>
    </row>
    <row r="21" spans="1:31" s="371" customFormat="1" ht="27.75" customHeight="1">
      <c r="A21" s="383" t="s">
        <v>206</v>
      </c>
      <c r="B21" s="386"/>
      <c r="C21" s="386"/>
      <c r="D21" s="386"/>
      <c r="E21" s="110"/>
      <c r="F21" s="110"/>
      <c r="G21" s="110"/>
      <c r="H21" s="110"/>
      <c r="I21" s="110"/>
      <c r="J21" s="110"/>
      <c r="K21" s="110"/>
      <c r="L21" s="110"/>
      <c r="M21" s="110"/>
      <c r="N21" s="110">
        <v>100</v>
      </c>
      <c r="O21" s="110">
        <v>200</v>
      </c>
      <c r="P21" s="110">
        <v>4</v>
      </c>
      <c r="Q21" s="387"/>
      <c r="R21" s="387"/>
      <c r="S21" s="387"/>
      <c r="T21" s="387"/>
      <c r="U21" s="387"/>
      <c r="V21" s="387"/>
      <c r="W21" s="387">
        <v>5</v>
      </c>
      <c r="X21" s="387">
        <v>10</v>
      </c>
      <c r="Y21" s="387">
        <v>7</v>
      </c>
      <c r="Z21" s="387">
        <v>25</v>
      </c>
      <c r="AA21" s="387">
        <v>50</v>
      </c>
      <c r="AB21" s="387">
        <v>51</v>
      </c>
      <c r="AC21" s="384">
        <f t="shared" si="1"/>
        <v>130</v>
      </c>
      <c r="AD21" s="384">
        <f t="shared" si="1"/>
        <v>260</v>
      </c>
      <c r="AE21" s="385">
        <f t="shared" si="1"/>
        <v>62</v>
      </c>
    </row>
    <row r="22" spans="1:31" s="371" customFormat="1" ht="27.75" customHeight="1">
      <c r="A22" s="383" t="s">
        <v>202</v>
      </c>
      <c r="B22" s="386"/>
      <c r="C22" s="386"/>
      <c r="D22" s="386"/>
      <c r="E22" s="110"/>
      <c r="F22" s="110"/>
      <c r="G22" s="110">
        <v>1</v>
      </c>
      <c r="H22" s="110">
        <v>0</v>
      </c>
      <c r="I22" s="110">
        <v>69</v>
      </c>
      <c r="J22" s="110">
        <f>168+10+59</f>
        <v>237</v>
      </c>
      <c r="K22" s="110">
        <v>0</v>
      </c>
      <c r="L22" s="110"/>
      <c r="M22" s="110">
        <v>0</v>
      </c>
      <c r="N22" s="110">
        <v>0</v>
      </c>
      <c r="O22" s="110">
        <v>0</v>
      </c>
      <c r="P22" s="110">
        <v>0</v>
      </c>
      <c r="Q22" s="387">
        <v>0</v>
      </c>
      <c r="R22" s="387">
        <v>0</v>
      </c>
      <c r="S22" s="387">
        <v>0</v>
      </c>
      <c r="T22" s="387">
        <v>210</v>
      </c>
      <c r="U22" s="387">
        <v>210</v>
      </c>
      <c r="V22" s="387">
        <v>48</v>
      </c>
      <c r="W22" s="387"/>
      <c r="X22" s="387"/>
      <c r="Y22" s="387"/>
      <c r="Z22" s="387">
        <v>100</v>
      </c>
      <c r="AA22" s="387">
        <v>100</v>
      </c>
      <c r="AB22" s="387">
        <v>35</v>
      </c>
      <c r="AC22" s="384">
        <f t="shared" si="1"/>
        <v>310</v>
      </c>
      <c r="AD22" s="384">
        <f>C22+F22+I22+L22+O22+R22+U22+X22+AA22</f>
        <v>379</v>
      </c>
      <c r="AE22" s="385">
        <f>D22+G22+J22+M22+P22+S22+V22+Y22+AB22</f>
        <v>321</v>
      </c>
    </row>
    <row r="23" spans="1:31" s="371" customFormat="1" ht="27.75" customHeight="1">
      <c r="A23" s="383" t="s">
        <v>203</v>
      </c>
      <c r="B23" s="386"/>
      <c r="C23" s="386"/>
      <c r="D23" s="386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4">
        <f t="shared" si="1"/>
        <v>0</v>
      </c>
      <c r="AD23" s="384">
        <f t="shared" si="1"/>
        <v>0</v>
      </c>
      <c r="AE23" s="385">
        <f t="shared" si="1"/>
        <v>0</v>
      </c>
    </row>
    <row r="24" spans="1:31" ht="27.75" customHeight="1">
      <c r="A24" s="15" t="s">
        <v>78</v>
      </c>
      <c r="B24" s="36">
        <f aca="true" t="shared" si="2" ref="B24:AE24">SUM(B13:B23)</f>
        <v>0</v>
      </c>
      <c r="C24" s="36">
        <f t="shared" si="2"/>
        <v>10</v>
      </c>
      <c r="D24" s="36">
        <f t="shared" si="2"/>
        <v>10</v>
      </c>
      <c r="E24" s="36">
        <f t="shared" si="2"/>
        <v>120</v>
      </c>
      <c r="F24" s="36">
        <f t="shared" si="2"/>
        <v>120</v>
      </c>
      <c r="G24" s="36">
        <f t="shared" si="2"/>
        <v>163</v>
      </c>
      <c r="H24" s="36">
        <f t="shared" si="2"/>
        <v>500</v>
      </c>
      <c r="I24" s="36">
        <f t="shared" si="2"/>
        <v>590</v>
      </c>
      <c r="J24" s="36">
        <f t="shared" si="2"/>
        <v>258</v>
      </c>
      <c r="K24" s="36">
        <f t="shared" si="2"/>
        <v>30</v>
      </c>
      <c r="L24" s="36">
        <f t="shared" si="2"/>
        <v>30</v>
      </c>
      <c r="M24" s="36">
        <f t="shared" si="2"/>
        <v>0</v>
      </c>
      <c r="N24" s="36">
        <f t="shared" si="2"/>
        <v>300</v>
      </c>
      <c r="O24" s="36">
        <f t="shared" si="2"/>
        <v>300</v>
      </c>
      <c r="P24" s="36">
        <f t="shared" si="2"/>
        <v>190</v>
      </c>
      <c r="Q24" s="36">
        <f t="shared" si="2"/>
        <v>0</v>
      </c>
      <c r="R24" s="36">
        <f t="shared" si="2"/>
        <v>0</v>
      </c>
      <c r="S24" s="36">
        <f t="shared" si="2"/>
        <v>0</v>
      </c>
      <c r="T24" s="36">
        <f t="shared" si="2"/>
        <v>410</v>
      </c>
      <c r="U24" s="36">
        <f t="shared" si="2"/>
        <v>410</v>
      </c>
      <c r="V24" s="36">
        <f t="shared" si="2"/>
        <v>237</v>
      </c>
      <c r="W24" s="36">
        <f t="shared" si="2"/>
        <v>30</v>
      </c>
      <c r="X24" s="36">
        <f t="shared" si="2"/>
        <v>50</v>
      </c>
      <c r="Y24" s="36">
        <f t="shared" si="2"/>
        <v>24</v>
      </c>
      <c r="Z24" s="36">
        <f t="shared" si="2"/>
        <v>900</v>
      </c>
      <c r="AA24" s="36">
        <f t="shared" si="2"/>
        <v>1227</v>
      </c>
      <c r="AB24" s="36">
        <f t="shared" si="2"/>
        <v>729</v>
      </c>
      <c r="AC24" s="36">
        <f t="shared" si="2"/>
        <v>2290</v>
      </c>
      <c r="AD24" s="36">
        <f t="shared" si="2"/>
        <v>2737</v>
      </c>
      <c r="AE24" s="190">
        <f t="shared" si="2"/>
        <v>1611</v>
      </c>
    </row>
    <row r="25" spans="1:31" ht="12.75" customHeight="1" hidden="1">
      <c r="A25" s="45"/>
      <c r="B25" s="36">
        <f>SUM(B15:B24)</f>
        <v>0</v>
      </c>
      <c r="C25" s="36"/>
      <c r="D25" s="36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ht="12.75" customHeight="1" hidden="1">
      <c r="A26" s="45"/>
      <c r="B26" s="36">
        <f>SUM(B16:B25)</f>
        <v>0</v>
      </c>
      <c r="C26" s="36"/>
      <c r="D26" s="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ht="12.75" customHeight="1" hidden="1">
      <c r="A27" s="45"/>
      <c r="B27" s="36">
        <f>SUM(B17:B26)</f>
        <v>0</v>
      </c>
      <c r="C27" s="36"/>
      <c r="D27" s="36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ht="12.75" customHeight="1" hidden="1">
      <c r="A28" s="45"/>
      <c r="B28" s="36">
        <f>SUM(B17:B27)</f>
        <v>0</v>
      </c>
      <c r="C28" s="36"/>
      <c r="D28" s="36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ht="12.75" customHeight="1" hidden="1">
      <c r="A29" s="45"/>
      <c r="B29" s="36">
        <f>SUM(B18:B28)</f>
        <v>0</v>
      </c>
      <c r="C29" s="36"/>
      <c r="D29" s="36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ht="12.75" customHeight="1" hidden="1">
      <c r="A30" s="45"/>
      <c r="B30" s="36">
        <f>SUM(B19:B29)</f>
        <v>0</v>
      </c>
      <c r="C30" s="36"/>
      <c r="D30" s="36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ht="12.75" customHeight="1" hidden="1">
      <c r="A31" s="45"/>
      <c r="B31" s="36">
        <f>SUM(B19:B30)</f>
        <v>0</v>
      </c>
      <c r="C31" s="36"/>
      <c r="D31" s="36"/>
      <c r="E31" s="42">
        <f>SUM(E27:E30)</f>
        <v>0</v>
      </c>
      <c r="F31" s="42"/>
      <c r="G31" s="42"/>
      <c r="H31" s="42">
        <f>SUM(H27:H30)</f>
        <v>0</v>
      </c>
      <c r="I31" s="42"/>
      <c r="J31" s="42"/>
      <c r="K31" s="42">
        <f>SUM(K27:K30)</f>
        <v>0</v>
      </c>
      <c r="L31" s="42"/>
      <c r="M31" s="42"/>
      <c r="N31" s="42">
        <f>SUM(N27:N30)</f>
        <v>0</v>
      </c>
      <c r="O31" s="42"/>
      <c r="P31" s="42"/>
      <c r="Q31" s="42">
        <f>SUM(Q27:Q30)</f>
        <v>0</v>
      </c>
      <c r="R31" s="42"/>
      <c r="S31" s="42"/>
      <c r="T31" s="42">
        <f>SUM(T27:T30)</f>
        <v>0</v>
      </c>
      <c r="U31" s="42"/>
      <c r="V31" s="42"/>
      <c r="W31" s="42">
        <f>SUM(W27:W30)</f>
        <v>0</v>
      </c>
      <c r="X31" s="42"/>
      <c r="Y31" s="42"/>
      <c r="Z31" s="42">
        <f>SUM(Z27:Z30)</f>
        <v>0</v>
      </c>
      <c r="AA31" s="42"/>
      <c r="AB31" s="42"/>
      <c r="AC31" s="42"/>
      <c r="AD31" s="42"/>
      <c r="AE31" s="42">
        <f>SUM(AE27:AE30)</f>
        <v>0</v>
      </c>
    </row>
    <row r="32" spans="1:31" ht="12.75" customHeight="1" hidden="1">
      <c r="A32" s="45"/>
      <c r="B32" s="36">
        <f>SUM(B19:B31)</f>
        <v>0</v>
      </c>
      <c r="C32" s="36"/>
      <c r="D32" s="36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ht="12.75" customHeight="1" hidden="1">
      <c r="A33" s="45"/>
      <c r="B33" s="36">
        <f>SUM(B20:B32)</f>
        <v>0</v>
      </c>
      <c r="C33" s="36"/>
      <c r="D33" s="36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ht="12.75" customHeight="1" hidden="1">
      <c r="A34" s="45"/>
      <c r="B34" s="36">
        <f>SUM(B20:B33)</f>
        <v>0</v>
      </c>
      <c r="C34" s="36"/>
      <c r="D34" s="36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ht="12.75" customHeight="1" hidden="1">
      <c r="A35" s="45"/>
      <c r="B35" s="36">
        <f>SUM(B20:B34)</f>
        <v>0</v>
      </c>
      <c r="C35" s="36"/>
      <c r="D35" s="36"/>
      <c r="E35" s="46">
        <f>E24+E31+E33</f>
        <v>120</v>
      </c>
      <c r="F35" s="46"/>
      <c r="G35" s="46"/>
      <c r="H35" s="46">
        <f>H24+H31+H33</f>
        <v>500</v>
      </c>
      <c r="I35" s="46"/>
      <c r="J35" s="46"/>
      <c r="K35" s="46">
        <f>K24+K31+K33</f>
        <v>30</v>
      </c>
      <c r="L35" s="46"/>
      <c r="M35" s="46"/>
      <c r="N35" s="46">
        <f>N24+N31+N33</f>
        <v>300</v>
      </c>
      <c r="O35" s="46"/>
      <c r="P35" s="46"/>
      <c r="Q35" s="46">
        <f>Q24+Q31+Q33</f>
        <v>0</v>
      </c>
      <c r="R35" s="46"/>
      <c r="S35" s="46"/>
      <c r="T35" s="46">
        <f>T24+T31+T33</f>
        <v>410</v>
      </c>
      <c r="U35" s="46"/>
      <c r="V35" s="46"/>
      <c r="W35" s="46">
        <f>W24+W31+W33</f>
        <v>30</v>
      </c>
      <c r="X35" s="46"/>
      <c r="Y35" s="46"/>
      <c r="Z35" s="46">
        <f>Z24+Z31+Z33</f>
        <v>900</v>
      </c>
      <c r="AA35" s="46"/>
      <c r="AB35" s="46"/>
      <c r="AC35" s="46"/>
      <c r="AD35" s="46"/>
      <c r="AE35" s="46">
        <f>AE24+AE31+AE33</f>
        <v>1611</v>
      </c>
    </row>
    <row r="36" spans="27:31" ht="12.75">
      <c r="AA36" s="147"/>
      <c r="AB36" s="147"/>
      <c r="AC36" s="147"/>
      <c r="AD36" s="147"/>
      <c r="AE36" s="147"/>
    </row>
    <row r="37" spans="27:31" ht="12.75">
      <c r="AA37" s="31"/>
      <c r="AB37" s="31"/>
      <c r="AC37" s="31"/>
      <c r="AD37" s="31"/>
      <c r="AE37" s="31"/>
    </row>
  </sheetData>
  <sheetProtection/>
  <mergeCells count="36">
    <mergeCell ref="B12:D12"/>
    <mergeCell ref="Z10:AB10"/>
    <mergeCell ref="Z11:AB11"/>
    <mergeCell ref="Z12:AB12"/>
    <mergeCell ref="T10:V10"/>
    <mergeCell ref="T11:V11"/>
    <mergeCell ref="T12:V12"/>
    <mergeCell ref="N10:P10"/>
    <mergeCell ref="N11:P11"/>
    <mergeCell ref="N12:P12"/>
    <mergeCell ref="H10:J10"/>
    <mergeCell ref="H11:J11"/>
    <mergeCell ref="H12:J12"/>
    <mergeCell ref="K10:M10"/>
    <mergeCell ref="K11:M11"/>
    <mergeCell ref="K12:M12"/>
    <mergeCell ref="A10:A12"/>
    <mergeCell ref="W1:AE1"/>
    <mergeCell ref="A3:AE3"/>
    <mergeCell ref="A4:AE4"/>
    <mergeCell ref="A5:AE5"/>
    <mergeCell ref="B10:D10"/>
    <mergeCell ref="B11:D11"/>
    <mergeCell ref="E10:G10"/>
    <mergeCell ref="E11:G11"/>
    <mergeCell ref="E12:G12"/>
    <mergeCell ref="AB9:AE9"/>
    <mergeCell ref="Q10:S10"/>
    <mergeCell ref="Q11:S11"/>
    <mergeCell ref="Q12:S12"/>
    <mergeCell ref="W10:Y10"/>
    <mergeCell ref="W11:Y11"/>
    <mergeCell ref="W12:Y12"/>
    <mergeCell ref="AC10:AE10"/>
    <mergeCell ref="AC11:AE11"/>
    <mergeCell ref="AC12:AE12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6">
      <selection activeCell="F18" sqref="F18"/>
    </sheetView>
  </sheetViews>
  <sheetFormatPr defaultColWidth="9.00390625" defaultRowHeight="12.75"/>
  <cols>
    <col min="1" max="1" width="61.375" style="0" customWidth="1"/>
    <col min="2" max="2" width="9.125" style="0" customWidth="1"/>
    <col min="3" max="3" width="7.125" style="0" customWidth="1"/>
    <col min="4" max="4" width="7.50390625" style="0" customWidth="1"/>
    <col min="5" max="5" width="7.125" style="0" customWidth="1"/>
    <col min="6" max="6" width="7.625" style="0" customWidth="1"/>
    <col min="7" max="7" width="7.375" style="0" customWidth="1"/>
    <col min="8" max="8" width="6.375" style="0" customWidth="1"/>
    <col min="9" max="9" width="6.625" style="0" customWidth="1"/>
    <col min="10" max="10" width="7.125" style="0" customWidth="1"/>
    <col min="11" max="11" width="8.625" style="0" customWidth="1"/>
    <col min="12" max="12" width="8.375" style="0" customWidth="1"/>
    <col min="13" max="13" width="6.50390625" style="0" customWidth="1"/>
  </cols>
  <sheetData>
    <row r="1" spans="1:13" ht="15.75">
      <c r="A1" s="73"/>
      <c r="B1" s="73"/>
      <c r="C1" s="73"/>
      <c r="D1" s="73"/>
      <c r="E1" s="74"/>
      <c r="F1" s="74"/>
      <c r="G1" s="74"/>
      <c r="H1" s="511" t="s">
        <v>474</v>
      </c>
      <c r="I1" s="511"/>
      <c r="J1" s="511"/>
      <c r="K1" s="511"/>
      <c r="L1" s="511"/>
      <c r="M1" s="511"/>
    </row>
    <row r="2" spans="1:13" ht="15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5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.75">
      <c r="A4" s="435" t="s">
        <v>116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>
      <c r="A5" s="436" t="str">
        <f>'kÉSZLETBESZ. 6-a'!A4:AE4</f>
        <v>2012. évi zárása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.75">
      <c r="A6" s="435" t="s">
        <v>117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</row>
    <row r="7" spans="1:13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1:13" ht="12.75">
      <c r="K8" s="104"/>
      <c r="L8" s="104"/>
      <c r="M8" s="104" t="s">
        <v>269</v>
      </c>
    </row>
    <row r="9" spans="1:13" ht="12.75">
      <c r="A9" s="508" t="s">
        <v>20</v>
      </c>
      <c r="B9" s="518" t="s">
        <v>118</v>
      </c>
      <c r="C9" s="519"/>
      <c r="D9" s="520"/>
      <c r="E9" s="415" t="s">
        <v>119</v>
      </c>
      <c r="F9" s="416"/>
      <c r="G9" s="407"/>
      <c r="H9" s="415" t="s">
        <v>74</v>
      </c>
      <c r="I9" s="416"/>
      <c r="J9" s="407"/>
      <c r="K9" s="527" t="s">
        <v>120</v>
      </c>
      <c r="L9" s="528"/>
      <c r="M9" s="529"/>
    </row>
    <row r="10" spans="1:13" ht="12.75">
      <c r="A10" s="509"/>
      <c r="B10" s="521" t="s">
        <v>121</v>
      </c>
      <c r="C10" s="522"/>
      <c r="D10" s="523"/>
      <c r="E10" s="521" t="s">
        <v>121</v>
      </c>
      <c r="F10" s="522"/>
      <c r="G10" s="523"/>
      <c r="H10" s="534" t="s">
        <v>105</v>
      </c>
      <c r="I10" s="535"/>
      <c r="J10" s="536"/>
      <c r="K10" s="530" t="s">
        <v>122</v>
      </c>
      <c r="L10" s="531"/>
      <c r="M10" s="532"/>
    </row>
    <row r="11" spans="1:13" ht="12.75">
      <c r="A11" s="510"/>
      <c r="B11" s="524" t="s">
        <v>123</v>
      </c>
      <c r="C11" s="525"/>
      <c r="D11" s="526"/>
      <c r="E11" s="524" t="s">
        <v>123</v>
      </c>
      <c r="F11" s="525"/>
      <c r="G11" s="526"/>
      <c r="H11" s="419" t="s">
        <v>110</v>
      </c>
      <c r="I11" s="420"/>
      <c r="J11" s="417"/>
      <c r="K11" s="533" t="s">
        <v>113</v>
      </c>
      <c r="L11" s="533"/>
      <c r="M11" s="533"/>
    </row>
    <row r="12" spans="1:13" ht="12.75">
      <c r="A12" s="109"/>
      <c r="B12" s="384" t="s">
        <v>306</v>
      </c>
      <c r="C12" s="384" t="s">
        <v>308</v>
      </c>
      <c r="D12" s="384" t="s">
        <v>305</v>
      </c>
      <c r="E12" s="384" t="s">
        <v>306</v>
      </c>
      <c r="F12" s="384" t="s">
        <v>308</v>
      </c>
      <c r="G12" s="384" t="s">
        <v>305</v>
      </c>
      <c r="H12" s="384" t="s">
        <v>306</v>
      </c>
      <c r="I12" s="384" t="s">
        <v>308</v>
      </c>
      <c r="J12" s="384" t="s">
        <v>305</v>
      </c>
      <c r="K12" s="385" t="s">
        <v>306</v>
      </c>
      <c r="L12" s="385" t="s">
        <v>308</v>
      </c>
      <c r="M12" s="193" t="s">
        <v>305</v>
      </c>
    </row>
    <row r="13" spans="1:13" s="371" customFormat="1" ht="27.75" customHeight="1">
      <c r="A13" s="383" t="s">
        <v>196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8">
        <f>B13+E13+H13</f>
        <v>0</v>
      </c>
      <c r="L13" s="388">
        <f aca="true" t="shared" si="0" ref="L13:M18">C13+F13+I13</f>
        <v>0</v>
      </c>
      <c r="M13" s="388">
        <f t="shared" si="0"/>
        <v>0</v>
      </c>
    </row>
    <row r="14" spans="1:13" s="371" customFormat="1" ht="27.75" customHeight="1">
      <c r="A14" s="383" t="s">
        <v>197</v>
      </c>
      <c r="B14" s="386"/>
      <c r="C14" s="386"/>
      <c r="D14" s="386"/>
      <c r="E14" s="110"/>
      <c r="F14" s="110"/>
      <c r="G14" s="110"/>
      <c r="H14" s="110"/>
      <c r="I14" s="110"/>
      <c r="J14" s="110"/>
      <c r="K14" s="388">
        <f>B14+E14+H14</f>
        <v>0</v>
      </c>
      <c r="L14" s="388">
        <f t="shared" si="0"/>
        <v>0</v>
      </c>
      <c r="M14" s="388">
        <f t="shared" si="0"/>
        <v>0</v>
      </c>
    </row>
    <row r="15" spans="1:13" s="371" customFormat="1" ht="27.75" customHeight="1">
      <c r="A15" s="383" t="s">
        <v>198</v>
      </c>
      <c r="B15" s="386">
        <v>220</v>
      </c>
      <c r="C15" s="386">
        <v>220</v>
      </c>
      <c r="D15" s="386">
        <v>68</v>
      </c>
      <c r="E15" s="110">
        <v>200</v>
      </c>
      <c r="F15" s="110">
        <v>200</v>
      </c>
      <c r="G15" s="110">
        <v>89</v>
      </c>
      <c r="H15" s="110">
        <v>0</v>
      </c>
      <c r="I15" s="110"/>
      <c r="J15" s="110"/>
      <c r="K15" s="388">
        <f aca="true" t="shared" si="1" ref="K15:M22">B15+E15+H15</f>
        <v>420</v>
      </c>
      <c r="L15" s="388">
        <f t="shared" si="0"/>
        <v>420</v>
      </c>
      <c r="M15" s="388">
        <f t="shared" si="0"/>
        <v>157</v>
      </c>
    </row>
    <row r="16" spans="1:13" s="371" customFormat="1" ht="27.75" customHeight="1">
      <c r="A16" s="383" t="s">
        <v>199</v>
      </c>
      <c r="B16" s="386"/>
      <c r="C16" s="386"/>
      <c r="D16" s="386"/>
      <c r="E16" s="110"/>
      <c r="F16" s="110"/>
      <c r="G16" s="110"/>
      <c r="H16" s="110"/>
      <c r="I16" s="110"/>
      <c r="J16" s="110"/>
      <c r="K16" s="388">
        <f t="shared" si="1"/>
        <v>0</v>
      </c>
      <c r="L16" s="388">
        <f t="shared" si="0"/>
        <v>0</v>
      </c>
      <c r="M16" s="388">
        <f t="shared" si="0"/>
        <v>0</v>
      </c>
    </row>
    <row r="17" spans="1:13" s="371" customFormat="1" ht="27.75" customHeight="1">
      <c r="A17" s="383" t="s">
        <v>204</v>
      </c>
      <c r="B17" s="386"/>
      <c r="C17" s="386"/>
      <c r="D17" s="386"/>
      <c r="E17" s="110"/>
      <c r="F17" s="110"/>
      <c r="G17" s="110"/>
      <c r="H17" s="110"/>
      <c r="I17" s="110"/>
      <c r="J17" s="110"/>
      <c r="K17" s="388">
        <f t="shared" si="1"/>
        <v>0</v>
      </c>
      <c r="L17" s="388">
        <f t="shared" si="0"/>
        <v>0</v>
      </c>
      <c r="M17" s="388">
        <f t="shared" si="0"/>
        <v>0</v>
      </c>
    </row>
    <row r="18" spans="1:13" s="371" customFormat="1" ht="27.75" customHeight="1">
      <c r="A18" s="383" t="s">
        <v>200</v>
      </c>
      <c r="B18" s="386">
        <v>75</v>
      </c>
      <c r="C18" s="386">
        <v>75</v>
      </c>
      <c r="D18" s="386">
        <v>57</v>
      </c>
      <c r="E18" s="110"/>
      <c r="F18" s="110"/>
      <c r="G18" s="110"/>
      <c r="H18" s="110"/>
      <c r="I18" s="110"/>
      <c r="J18" s="110"/>
      <c r="K18" s="388">
        <f t="shared" si="1"/>
        <v>75</v>
      </c>
      <c r="L18" s="388">
        <f t="shared" si="0"/>
        <v>75</v>
      </c>
      <c r="M18" s="388">
        <f t="shared" si="0"/>
        <v>57</v>
      </c>
    </row>
    <row r="19" spans="1:13" ht="27.75" customHeight="1">
      <c r="A19" s="383" t="s">
        <v>201</v>
      </c>
      <c r="B19" s="386"/>
      <c r="C19" s="386"/>
      <c r="D19" s="386"/>
      <c r="E19" s="110"/>
      <c r="F19" s="110"/>
      <c r="G19" s="110"/>
      <c r="H19" s="110"/>
      <c r="I19" s="110"/>
      <c r="J19" s="110"/>
      <c r="K19" s="388">
        <f t="shared" si="1"/>
        <v>0</v>
      </c>
      <c r="L19" s="388">
        <f t="shared" si="1"/>
        <v>0</v>
      </c>
      <c r="M19" s="388">
        <f t="shared" si="1"/>
        <v>0</v>
      </c>
    </row>
    <row r="20" spans="1:13" ht="27.75" customHeight="1">
      <c r="A20" s="383" t="s">
        <v>206</v>
      </c>
      <c r="B20" s="386"/>
      <c r="C20" s="386"/>
      <c r="D20" s="386"/>
      <c r="E20" s="110"/>
      <c r="F20" s="110"/>
      <c r="G20" s="110"/>
      <c r="H20" s="110"/>
      <c r="I20" s="110"/>
      <c r="J20" s="110"/>
      <c r="K20" s="388">
        <f t="shared" si="1"/>
        <v>0</v>
      </c>
      <c r="L20" s="388">
        <f t="shared" si="1"/>
        <v>0</v>
      </c>
      <c r="M20" s="388">
        <f t="shared" si="1"/>
        <v>0</v>
      </c>
    </row>
    <row r="21" spans="1:13" ht="27.75" customHeight="1">
      <c r="A21" s="383" t="s">
        <v>202</v>
      </c>
      <c r="B21" s="386">
        <v>90</v>
      </c>
      <c r="C21" s="386">
        <v>90</v>
      </c>
      <c r="D21" s="386"/>
      <c r="E21" s="110"/>
      <c r="F21" s="110"/>
      <c r="G21" s="110">
        <v>92</v>
      </c>
      <c r="H21" s="110"/>
      <c r="I21" s="110"/>
      <c r="J21" s="110"/>
      <c r="K21" s="388">
        <f t="shared" si="1"/>
        <v>90</v>
      </c>
      <c r="L21" s="388">
        <f t="shared" si="1"/>
        <v>90</v>
      </c>
      <c r="M21" s="388">
        <f t="shared" si="1"/>
        <v>92</v>
      </c>
    </row>
    <row r="22" spans="1:13" ht="27.75" customHeight="1">
      <c r="A22" s="383" t="s">
        <v>203</v>
      </c>
      <c r="B22" s="386"/>
      <c r="C22" s="386"/>
      <c r="D22" s="386"/>
      <c r="E22" s="110"/>
      <c r="F22" s="110"/>
      <c r="G22" s="110"/>
      <c r="H22" s="110"/>
      <c r="I22" s="110"/>
      <c r="J22" s="110"/>
      <c r="K22" s="388">
        <f t="shared" si="1"/>
        <v>0</v>
      </c>
      <c r="L22" s="388">
        <f t="shared" si="1"/>
        <v>0</v>
      </c>
      <c r="M22" s="388">
        <f t="shared" si="1"/>
        <v>0</v>
      </c>
    </row>
    <row r="23" spans="1:13" ht="27.75" customHeight="1">
      <c r="A23" s="15" t="s">
        <v>78</v>
      </c>
      <c r="B23" s="149">
        <f>SUM(B13:B22)</f>
        <v>385</v>
      </c>
      <c r="C23" s="149">
        <f aca="true" t="shared" si="2" ref="C23:M23">SUM(C13:C22)</f>
        <v>385</v>
      </c>
      <c r="D23" s="149">
        <f t="shared" si="2"/>
        <v>125</v>
      </c>
      <c r="E23" s="149">
        <f t="shared" si="2"/>
        <v>200</v>
      </c>
      <c r="F23" s="149">
        <f t="shared" si="2"/>
        <v>200</v>
      </c>
      <c r="G23" s="149">
        <f t="shared" si="2"/>
        <v>181</v>
      </c>
      <c r="H23" s="149">
        <f t="shared" si="2"/>
        <v>0</v>
      </c>
      <c r="I23" s="149">
        <f t="shared" si="2"/>
        <v>0</v>
      </c>
      <c r="J23" s="149">
        <f t="shared" si="2"/>
        <v>0</v>
      </c>
      <c r="K23" s="149">
        <f t="shared" si="2"/>
        <v>585</v>
      </c>
      <c r="L23" s="149">
        <f t="shared" si="2"/>
        <v>585</v>
      </c>
      <c r="M23" s="151">
        <f t="shared" si="2"/>
        <v>306</v>
      </c>
    </row>
    <row r="24" spans="1:13" ht="12.75" hidden="1">
      <c r="A24" s="38" t="s">
        <v>124</v>
      </c>
      <c r="B24" s="47"/>
      <c r="C24" s="47"/>
      <c r="D24" s="47"/>
      <c r="E24" s="33"/>
      <c r="F24" s="33"/>
      <c r="G24" s="33"/>
      <c r="H24" s="33"/>
      <c r="I24" s="33"/>
      <c r="J24" s="33"/>
      <c r="K24" s="34"/>
      <c r="L24" s="35">
        <f aca="true" t="shared" si="3" ref="L24:L34">C24+F24+I24</f>
        <v>0</v>
      </c>
      <c r="M24" s="34"/>
    </row>
    <row r="25" spans="1:13" ht="12.75" hidden="1">
      <c r="A25" s="40" t="s">
        <v>125</v>
      </c>
      <c r="B25" s="48"/>
      <c r="C25" s="48"/>
      <c r="D25" s="48"/>
      <c r="E25" s="39"/>
      <c r="F25" s="39"/>
      <c r="G25" s="39"/>
      <c r="H25" s="39"/>
      <c r="I25" s="39"/>
      <c r="J25" s="39"/>
      <c r="K25" s="34"/>
      <c r="L25" s="35">
        <f t="shared" si="3"/>
        <v>0</v>
      </c>
      <c r="M25" s="34"/>
    </row>
    <row r="26" spans="1:13" ht="12.75" hidden="1">
      <c r="A26" s="40" t="s">
        <v>126</v>
      </c>
      <c r="B26" s="49"/>
      <c r="C26" s="49"/>
      <c r="D26" s="49"/>
      <c r="E26" s="34"/>
      <c r="F26" s="34"/>
      <c r="G26" s="34"/>
      <c r="H26" s="34"/>
      <c r="I26" s="34"/>
      <c r="J26" s="34"/>
      <c r="K26" s="34"/>
      <c r="L26" s="35">
        <f t="shared" si="3"/>
        <v>0</v>
      </c>
      <c r="M26" s="34"/>
    </row>
    <row r="27" spans="1:13" ht="12.75" hidden="1">
      <c r="A27" s="40" t="s">
        <v>127</v>
      </c>
      <c r="B27" s="49"/>
      <c r="C27" s="49"/>
      <c r="D27" s="49"/>
      <c r="E27" s="34"/>
      <c r="F27" s="34"/>
      <c r="G27" s="34"/>
      <c r="H27" s="34"/>
      <c r="I27" s="34"/>
      <c r="J27" s="34"/>
      <c r="K27" s="34"/>
      <c r="L27" s="35">
        <f t="shared" si="3"/>
        <v>0</v>
      </c>
      <c r="M27" s="34"/>
    </row>
    <row r="28" spans="1:13" ht="12.75" hidden="1">
      <c r="A28" s="40" t="s">
        <v>128</v>
      </c>
      <c r="B28" s="49"/>
      <c r="C28" s="49"/>
      <c r="D28" s="49"/>
      <c r="E28" s="34"/>
      <c r="F28" s="34"/>
      <c r="G28" s="34"/>
      <c r="H28" s="34"/>
      <c r="I28" s="34"/>
      <c r="J28" s="34"/>
      <c r="K28" s="34"/>
      <c r="L28" s="35">
        <f t="shared" si="3"/>
        <v>0</v>
      </c>
      <c r="M28" s="34"/>
    </row>
    <row r="29" spans="1:13" ht="12.75" hidden="1">
      <c r="A29" s="41" t="s">
        <v>129</v>
      </c>
      <c r="B29" s="49"/>
      <c r="C29" s="49"/>
      <c r="D29" s="49"/>
      <c r="E29" s="34"/>
      <c r="F29" s="34"/>
      <c r="G29" s="34"/>
      <c r="H29" s="34"/>
      <c r="I29" s="34"/>
      <c r="J29" s="34"/>
      <c r="K29" s="34"/>
      <c r="L29" s="35">
        <f t="shared" si="3"/>
        <v>0</v>
      </c>
      <c r="M29" s="34"/>
    </row>
    <row r="30" spans="1:13" ht="12.75" hidden="1">
      <c r="A30" s="38" t="s">
        <v>114</v>
      </c>
      <c r="B30" s="42">
        <f>SUM(B26:B29)</f>
        <v>0</v>
      </c>
      <c r="C30" s="42"/>
      <c r="D30" s="42"/>
      <c r="E30" s="42">
        <f>SUM(E26:E29)</f>
        <v>0</v>
      </c>
      <c r="F30" s="42"/>
      <c r="G30" s="42"/>
      <c r="H30" s="42">
        <f>SUM(H26:H29)</f>
        <v>0</v>
      </c>
      <c r="I30" s="42"/>
      <c r="J30" s="42"/>
      <c r="K30" s="42">
        <f>SUM(K26:K29)</f>
        <v>0</v>
      </c>
      <c r="L30" s="35">
        <f t="shared" si="3"/>
        <v>0</v>
      </c>
      <c r="M30" s="42">
        <f>SUM(M26:M29)</f>
        <v>0</v>
      </c>
    </row>
    <row r="31" spans="1:13" ht="12.75" hidden="1">
      <c r="A31" s="41" t="s">
        <v>115</v>
      </c>
      <c r="B31" s="50"/>
      <c r="C31" s="50"/>
      <c r="D31" s="50"/>
      <c r="E31" s="34"/>
      <c r="F31" s="34"/>
      <c r="G31" s="34"/>
      <c r="H31" s="34"/>
      <c r="I31" s="34"/>
      <c r="J31" s="34"/>
      <c r="K31" s="34"/>
      <c r="L31" s="35">
        <f t="shared" si="3"/>
        <v>0</v>
      </c>
      <c r="M31" s="34"/>
    </row>
    <row r="32" spans="1:13" ht="12.75" hidden="1">
      <c r="A32" s="44"/>
      <c r="B32" s="42"/>
      <c r="C32" s="42"/>
      <c r="D32" s="42"/>
      <c r="E32" s="43"/>
      <c r="F32" s="43"/>
      <c r="G32" s="43"/>
      <c r="H32" s="43"/>
      <c r="I32" s="43"/>
      <c r="J32" s="43"/>
      <c r="K32" s="43"/>
      <c r="L32" s="35">
        <f t="shared" si="3"/>
        <v>0</v>
      </c>
      <c r="M32" s="43"/>
    </row>
    <row r="33" spans="1:13" ht="12.75" hidden="1">
      <c r="A33" s="45" t="s">
        <v>95</v>
      </c>
      <c r="B33" s="51"/>
      <c r="C33" s="51"/>
      <c r="D33" s="51"/>
      <c r="E33" s="34"/>
      <c r="F33" s="34"/>
      <c r="G33" s="34"/>
      <c r="H33" s="34"/>
      <c r="I33" s="34"/>
      <c r="J33" s="34"/>
      <c r="K33" s="34"/>
      <c r="L33" s="35">
        <f t="shared" si="3"/>
        <v>0</v>
      </c>
      <c r="M33" s="34"/>
    </row>
    <row r="34" spans="2:13" ht="12.75" hidden="1">
      <c r="B34" s="46" t="e">
        <f>#REF!+B30+B32</f>
        <v>#REF!</v>
      </c>
      <c r="C34" s="46"/>
      <c r="D34" s="46"/>
      <c r="E34" s="46" t="e">
        <f>#REF!+E30+E32</f>
        <v>#REF!</v>
      </c>
      <c r="F34" s="46"/>
      <c r="G34" s="46"/>
      <c r="H34" s="46" t="e">
        <f>#REF!+H30+H32</f>
        <v>#REF!</v>
      </c>
      <c r="I34" s="46"/>
      <c r="J34" s="46"/>
      <c r="K34" s="46" t="e">
        <f>#REF!+K30+K32</f>
        <v>#REF!</v>
      </c>
      <c r="L34" s="35">
        <f t="shared" si="3"/>
        <v>0</v>
      </c>
      <c r="M34" s="46" t="e">
        <f>#REF!+M30+M32</f>
        <v>#REF!</v>
      </c>
    </row>
    <row r="35" ht="12.75">
      <c r="L35" s="189"/>
    </row>
  </sheetData>
  <sheetProtection/>
  <mergeCells count="17">
    <mergeCell ref="H1:M1"/>
    <mergeCell ref="K9:M9"/>
    <mergeCell ref="K10:M10"/>
    <mergeCell ref="K11:M11"/>
    <mergeCell ref="H9:J9"/>
    <mergeCell ref="H10:J10"/>
    <mergeCell ref="H11:J11"/>
    <mergeCell ref="A9:A11"/>
    <mergeCell ref="B9:D9"/>
    <mergeCell ref="B10:D10"/>
    <mergeCell ref="A4:M4"/>
    <mergeCell ref="A5:M5"/>
    <mergeCell ref="A6:M6"/>
    <mergeCell ref="B11:D11"/>
    <mergeCell ref="E9:G9"/>
    <mergeCell ref="E10:G10"/>
    <mergeCell ref="E11:G11"/>
  </mergeCells>
  <printOptions/>
  <pageMargins left="0.3937007874015748" right="0.3937007874015748" top="0.1968503937007874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Bajót Község Önkormányzata</cp:lastModifiedBy>
  <cp:lastPrinted>2013-04-15T11:06:12Z</cp:lastPrinted>
  <dcterms:created xsi:type="dcterms:W3CDTF">1999-10-30T10:30:45Z</dcterms:created>
  <dcterms:modified xsi:type="dcterms:W3CDTF">2013-04-15T11:06:14Z</dcterms:modified>
  <cp:category/>
  <cp:version/>
  <cp:contentType/>
  <cp:contentStatus/>
</cp:coreProperties>
</file>